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pivotCache/pivotCacheDefinition9.xml" ContentType="application/vnd.openxmlformats-officedocument.spreadsheetml.pivotCacheDefinition+xml"/>
  <Override PartName="/xl/pivotCache/pivotCacheRecords9.xml" ContentType="application/vnd.openxmlformats-officedocument.spreadsheetml.pivotCacheRecords+xml"/>
  <Override PartName="/xl/pivotCache/pivotCacheDefinition10.xml" ContentType="application/vnd.openxmlformats-officedocument.spreadsheetml.pivotCacheDefinition+xml"/>
  <Override PartName="/xl/pivotCache/pivotCacheRecords10.xml" ContentType="application/vnd.openxmlformats-officedocument.spreadsheetml.pivotCacheRecords+xml"/>
  <Override PartName="/xl/pivotCache/pivotCacheDefinition11.xml" ContentType="application/vnd.openxmlformats-officedocument.spreadsheetml.pivotCacheDefinition+xml"/>
  <Override PartName="/xl/pivotCache/pivotCacheRecords11.xml" ContentType="application/vnd.openxmlformats-officedocument.spreadsheetml.pivotCacheRecords+xml"/>
  <Override PartName="/xl/pivotCache/pivotCacheDefinition12.xml" ContentType="application/vnd.openxmlformats-officedocument.spreadsheetml.pivotCacheDefinition+xml"/>
  <Override PartName="/xl/pivotCache/pivotCacheRecords12.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theme/themeOverride1.xml" ContentType="application/vnd.openxmlformats-officedocument.themeOverride+xml"/>
  <Override PartName="/xl/charts/chart6.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charts/chart7.xml" ContentType="application/vnd.openxmlformats-officedocument.drawingml.chart+xml"/>
  <Override PartName="/xl/drawings/drawing4.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5.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6.xml" ContentType="application/vnd.openxmlformats-officedocument.drawingml.chartshapes+xml"/>
  <Override PartName="/xl/charts/chart14.xml" ContentType="application/vnd.openxmlformats-officedocument.drawingml.chart+xml"/>
  <Override PartName="/xl/drawings/drawing7.xml" ContentType="application/vnd.openxmlformats-officedocument.drawing+xml"/>
  <Override PartName="/xl/embeddings/oleObject1.bin" ContentType="application/vnd.openxmlformats-officedocument.oleObject"/>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drawings/drawing8.xml" ContentType="application/vnd.openxmlformats-officedocument.drawing+xml"/>
  <Override PartName="/xl/tables/table1.xml" ContentType="application/vnd.openxmlformats-officedocument.spreadsheetml.table+xml"/>
  <Override PartName="/xl/charts/chart15.xml" ContentType="application/vnd.openxmlformats-officedocument.drawingml.chart+xml"/>
  <Override PartName="/xl/charts/chart16.xml" ContentType="application/vnd.openxmlformats-officedocument.drawingml.chart+xml"/>
  <Override PartName="/xl/theme/themeOverride3.xml" ContentType="application/vnd.openxmlformats-officedocument.themeOverride+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PivotChartFilter="1" defaultThemeVersion="124226"/>
  <bookViews>
    <workbookView xWindow="-480" yWindow="-30" windowWidth="22545" windowHeight="10680" tabRatio="949"/>
  </bookViews>
  <sheets>
    <sheet name="Area Data" sheetId="57" r:id="rId1"/>
    <sheet name="Area Indicators" sheetId="83" r:id="rId2"/>
    <sheet name="Area Measures " sheetId="82" r:id="rId3"/>
    <sheet name="State Data" sheetId="77" r:id="rId4"/>
    <sheet name="State Indicators" sheetId="46" r:id="rId5"/>
    <sheet name="State Measures" sheetId="48" r:id="rId6"/>
    <sheet name="Definitions" sheetId="60" r:id="rId7"/>
    <sheet name="State PivotTables" sheetId="71" state="hidden" r:id="rId8"/>
    <sheet name="Area Pivot Tables" sheetId="81" state="hidden" r:id="rId9"/>
    <sheet name="MiscData" sheetId="105" state="hidden" r:id="rId10"/>
    <sheet name="Common Measures" sheetId="65" state="hidden" r:id="rId11"/>
    <sheet name="Lists" sheetId="70" state="hidden" r:id="rId12"/>
    <sheet name="WIA Title IB Charts" sheetId="78" state="hidden" r:id="rId13"/>
  </sheets>
  <externalReferences>
    <externalReference r:id="rId14"/>
    <externalReference r:id="rId15"/>
  </externalReferences>
  <definedNames>
    <definedName name="Area" localSheetId="9">[1]Lists!$A$2:$A$13</definedName>
    <definedName name="Area">Lists!$A$2:$A$13</definedName>
    <definedName name="Counties">Lists!$A$43:$D$82</definedName>
    <definedName name="eight">8</definedName>
    <definedName name="eleven">11</definedName>
    <definedName name="five">5</definedName>
    <definedName name="four">4</definedName>
    <definedName name="lss">[2]LinkToLss!$B$2:$J$1145</definedName>
    <definedName name="nine">9</definedName>
    <definedName name="_xlnm.Print_Area" localSheetId="0">'Area Data'!$A$1:$K$44</definedName>
    <definedName name="_xlnm.Print_Area" localSheetId="1">'Area Indicators'!$A$1:$L$21</definedName>
    <definedName name="_xlnm.Print_Area" localSheetId="2">'Area Measures '!$A$1:$L$26</definedName>
    <definedName name="_xlnm.Print_Area" localSheetId="6">Definitions!$A$1:$H$37</definedName>
    <definedName name="_xlnm.Print_Area" localSheetId="3">'State Data'!$A$1:$K$44</definedName>
    <definedName name="_xlnm.Print_Area" localSheetId="4">'State Indicators'!$A$1:$L$21</definedName>
    <definedName name="_xlnm.Print_Area" localSheetId="5">'State Measures'!$A$1:$L$26</definedName>
    <definedName name="qUARTERS" localSheetId="9">[1]Lists!$A$16:$A$41</definedName>
    <definedName name="qUARTERS">Lists!$A$16:$A$41</definedName>
    <definedName name="seven">7</definedName>
    <definedName name="six">6</definedName>
    <definedName name="ten">10</definedName>
    <definedName name="three">3</definedName>
    <definedName name="twelve">12</definedName>
    <definedName name="two">2</definedName>
  </definedNames>
  <calcPr calcId="145621"/>
  <pivotCaches>
    <pivotCache cacheId="0" r:id="rId16"/>
    <pivotCache cacheId="1" r:id="rId17"/>
    <pivotCache cacheId="2" r:id="rId18"/>
    <pivotCache cacheId="3" r:id="rId19"/>
    <pivotCache cacheId="4" r:id="rId20"/>
    <pivotCache cacheId="5" r:id="rId21"/>
    <pivotCache cacheId="6" r:id="rId22"/>
    <pivotCache cacheId="7" r:id="rId23"/>
    <pivotCache cacheId="8" r:id="rId24"/>
    <pivotCache cacheId="9" r:id="rId25"/>
    <pivotCache cacheId="10" r:id="rId26"/>
    <pivotCache cacheId="11" r:id="rId27"/>
  </pivotCaches>
</workbook>
</file>

<file path=xl/calcChain.xml><?xml version="1.0" encoding="utf-8"?>
<calcChain xmlns="http://schemas.openxmlformats.org/spreadsheetml/2006/main">
  <c r="K4" i="65" l="1"/>
  <c r="K5" i="65"/>
  <c r="K6" i="65"/>
  <c r="K7" i="65"/>
  <c r="K8" i="65"/>
  <c r="K9" i="65"/>
  <c r="K10" i="65"/>
  <c r="K11" i="65"/>
  <c r="K12" i="65"/>
  <c r="K13" i="65"/>
  <c r="K14" i="65"/>
  <c r="K15" i="65"/>
  <c r="K3" i="65"/>
  <c r="E4" i="65"/>
  <c r="E5" i="65"/>
  <c r="E6" i="65"/>
  <c r="E7" i="65"/>
  <c r="E8" i="65"/>
  <c r="E9" i="65"/>
  <c r="E10" i="65"/>
  <c r="E11" i="65"/>
  <c r="E12" i="65"/>
  <c r="E13" i="65"/>
  <c r="E14" i="65"/>
  <c r="E15" i="65"/>
  <c r="E3" i="65"/>
  <c r="H4" i="65"/>
  <c r="H5" i="65"/>
  <c r="H6" i="65"/>
  <c r="H7" i="65"/>
  <c r="H8" i="65"/>
  <c r="H9" i="65"/>
  <c r="H10" i="65"/>
  <c r="H11" i="65"/>
  <c r="H12" i="65"/>
  <c r="H13" i="65"/>
  <c r="H14" i="65"/>
  <c r="H15" i="65"/>
  <c r="H3" i="65"/>
  <c r="A21" i="83"/>
  <c r="A21" i="46"/>
  <c r="L26" i="48"/>
  <c r="L26" i="82"/>
  <c r="C36" i="77"/>
  <c r="D36" i="77"/>
  <c r="J29" i="77" l="1"/>
  <c r="I29" i="77"/>
  <c r="H29" i="77"/>
  <c r="G29" i="77"/>
  <c r="J30" i="77"/>
  <c r="I30" i="77"/>
  <c r="H30" i="77"/>
  <c r="G30" i="77"/>
  <c r="J28" i="77"/>
  <c r="I28" i="77"/>
  <c r="H28" i="77"/>
  <c r="G28" i="77"/>
  <c r="A1" i="57"/>
  <c r="I32" i="57" s="1"/>
  <c r="M196" i="105"/>
  <c r="M201" i="105"/>
  <c r="M194" i="105"/>
  <c r="M200" i="105"/>
  <c r="M195" i="105"/>
  <c r="M190" i="105"/>
  <c r="M199" i="105"/>
  <c r="O196" i="105"/>
  <c r="O201" i="105"/>
  <c r="O194" i="105"/>
  <c r="O200" i="105"/>
  <c r="O195" i="105"/>
  <c r="O190" i="105"/>
  <c r="O199" i="105"/>
  <c r="A187" i="105"/>
  <c r="A186" i="105"/>
  <c r="A185" i="105"/>
  <c r="A184" i="105"/>
  <c r="A183" i="105"/>
  <c r="A182" i="105"/>
  <c r="A181" i="105"/>
  <c r="A180" i="105"/>
  <c r="A179" i="105"/>
  <c r="A178" i="105"/>
  <c r="A177" i="105"/>
  <c r="A176" i="105"/>
  <c r="A175" i="105"/>
  <c r="A174" i="105"/>
  <c r="A173" i="105"/>
  <c r="A172" i="105"/>
  <c r="A171" i="105"/>
  <c r="A170" i="105"/>
  <c r="A169" i="105"/>
  <c r="A168" i="105"/>
  <c r="A167" i="105"/>
  <c r="A166" i="105"/>
  <c r="A165" i="105"/>
  <c r="A164" i="105"/>
  <c r="A163" i="105"/>
  <c r="A162" i="105"/>
  <c r="A161" i="105"/>
  <c r="A160" i="105"/>
  <c r="A159" i="105"/>
  <c r="A158" i="105"/>
  <c r="A157" i="105"/>
  <c r="A156" i="105"/>
  <c r="A155" i="105"/>
  <c r="A154" i="105"/>
  <c r="A153" i="105"/>
  <c r="A152" i="105"/>
  <c r="A151" i="105"/>
  <c r="A150" i="105"/>
  <c r="A149" i="105"/>
  <c r="A148" i="105"/>
  <c r="G151" i="105" s="1"/>
  <c r="F144" i="105"/>
  <c r="G36" i="57"/>
  <c r="K21" i="82" s="1"/>
  <c r="O202" i="105"/>
  <c r="O198" i="105"/>
  <c r="O197" i="105"/>
  <c r="O193" i="105"/>
  <c r="O192" i="105"/>
  <c r="O191" i="105"/>
  <c r="K196" i="105"/>
  <c r="K201" i="105"/>
  <c r="K194" i="105"/>
  <c r="K200" i="105"/>
  <c r="K195" i="105"/>
  <c r="K190" i="105"/>
  <c r="K199" i="105"/>
  <c r="J196" i="105"/>
  <c r="J201" i="105"/>
  <c r="J194" i="105"/>
  <c r="J200" i="105"/>
  <c r="J195" i="105"/>
  <c r="J190" i="105"/>
  <c r="J199" i="105"/>
  <c r="I196" i="105"/>
  <c r="I201" i="105"/>
  <c r="I194" i="105"/>
  <c r="I200" i="105"/>
  <c r="I195" i="105"/>
  <c r="I190" i="105"/>
  <c r="I199" i="105"/>
  <c r="H196" i="105"/>
  <c r="H201" i="105"/>
  <c r="H194" i="105"/>
  <c r="H200" i="105"/>
  <c r="H195" i="105"/>
  <c r="H190" i="105"/>
  <c r="H199" i="105"/>
  <c r="G191" i="105"/>
  <c r="G196" i="105"/>
  <c r="G201" i="105"/>
  <c r="G194" i="105"/>
  <c r="G200" i="105"/>
  <c r="G195" i="105"/>
  <c r="G190" i="105"/>
  <c r="G199" i="105"/>
  <c r="M202" i="105"/>
  <c r="M198" i="105"/>
  <c r="M197" i="105"/>
  <c r="M193" i="105"/>
  <c r="M192" i="105"/>
  <c r="M191" i="105"/>
  <c r="K202" i="105"/>
  <c r="I38" i="77" s="1"/>
  <c r="J202" i="105"/>
  <c r="I37" i="77" s="1"/>
  <c r="I202" i="105"/>
  <c r="I36" i="77" s="1"/>
  <c r="H202" i="105"/>
  <c r="I35" i="77" s="1"/>
  <c r="G202" i="105"/>
  <c r="I34" i="77" s="1"/>
  <c r="K198" i="105"/>
  <c r="J198" i="105"/>
  <c r="I198" i="105"/>
  <c r="H198" i="105"/>
  <c r="G198" i="105"/>
  <c r="K197" i="105"/>
  <c r="J197" i="105"/>
  <c r="I197" i="105"/>
  <c r="H197" i="105"/>
  <c r="G197" i="105"/>
  <c r="K193" i="105"/>
  <c r="J193" i="105"/>
  <c r="I193" i="105"/>
  <c r="H193" i="105"/>
  <c r="G193" i="105"/>
  <c r="K192" i="105"/>
  <c r="J192" i="105"/>
  <c r="I192" i="105"/>
  <c r="H192" i="105"/>
  <c r="G192" i="105"/>
  <c r="K191" i="105"/>
  <c r="J191" i="105"/>
  <c r="I191" i="105"/>
  <c r="H191" i="105"/>
  <c r="G34" i="77"/>
  <c r="K21" i="48" s="1"/>
  <c r="G155" i="105"/>
  <c r="B61" i="105"/>
  <c r="C61" i="105"/>
  <c r="D61" i="105"/>
  <c r="E61" i="105"/>
  <c r="F61" i="105"/>
  <c r="B62" i="105"/>
  <c r="C62" i="105"/>
  <c r="D62" i="105"/>
  <c r="E62" i="105"/>
  <c r="F62" i="105"/>
  <c r="B63" i="105"/>
  <c r="C63" i="105"/>
  <c r="D63" i="105"/>
  <c r="E63" i="105"/>
  <c r="F63" i="105"/>
  <c r="B64" i="105"/>
  <c r="C64" i="105"/>
  <c r="D64" i="105"/>
  <c r="E64" i="105"/>
  <c r="F64" i="105"/>
  <c r="B65" i="105"/>
  <c r="C65" i="105"/>
  <c r="D65" i="105"/>
  <c r="E65" i="105"/>
  <c r="F65" i="105"/>
  <c r="B66" i="105"/>
  <c r="C66" i="105"/>
  <c r="D66" i="105"/>
  <c r="E66" i="105"/>
  <c r="F66" i="105"/>
  <c r="B67" i="105"/>
  <c r="C67" i="105"/>
  <c r="D67" i="105"/>
  <c r="E67" i="105"/>
  <c r="F67" i="105"/>
  <c r="B68" i="105"/>
  <c r="C68" i="105"/>
  <c r="D68" i="105"/>
  <c r="E68" i="105"/>
  <c r="F68" i="105"/>
  <c r="B69" i="105"/>
  <c r="C69" i="105"/>
  <c r="D69" i="105"/>
  <c r="E69" i="105"/>
  <c r="F69" i="105"/>
  <c r="B70" i="105"/>
  <c r="C70" i="105"/>
  <c r="D70" i="105"/>
  <c r="E70" i="105"/>
  <c r="F70" i="105"/>
  <c r="B71" i="105"/>
  <c r="C71" i="105"/>
  <c r="D71" i="105"/>
  <c r="E71" i="105"/>
  <c r="F71" i="105"/>
  <c r="B72" i="105"/>
  <c r="C72" i="105"/>
  <c r="D72" i="105"/>
  <c r="E72" i="105"/>
  <c r="F72" i="105"/>
  <c r="D73" i="105"/>
  <c r="H32" i="57"/>
  <c r="I125" i="105"/>
  <c r="I126" i="105"/>
  <c r="I127" i="105"/>
  <c r="I128" i="105"/>
  <c r="I129" i="105"/>
  <c r="I130" i="105"/>
  <c r="I131" i="105"/>
  <c r="I132" i="105"/>
  <c r="I133" i="105"/>
  <c r="I134" i="105"/>
  <c r="I135" i="105"/>
  <c r="I136" i="105"/>
  <c r="I137" i="105"/>
  <c r="F160" i="105"/>
  <c r="G160" i="105"/>
  <c r="H160" i="105" s="1"/>
  <c r="H179" i="105" s="1"/>
  <c r="G179" i="105" s="1"/>
  <c r="F179" i="105" s="1"/>
  <c r="J160" i="105" s="1"/>
  <c r="H137" i="105"/>
  <c r="G137" i="105"/>
  <c r="F137" i="105"/>
  <c r="E137" i="105"/>
  <c r="D137" i="105"/>
  <c r="C137" i="105"/>
  <c r="B137" i="105"/>
  <c r="H136" i="105"/>
  <c r="G136" i="105"/>
  <c r="F136" i="105"/>
  <c r="E136" i="105"/>
  <c r="D136" i="105"/>
  <c r="C136" i="105"/>
  <c r="B136" i="105"/>
  <c r="H135" i="105"/>
  <c r="G135" i="105"/>
  <c r="F135" i="105"/>
  <c r="E135" i="105"/>
  <c r="D135" i="105"/>
  <c r="C135" i="105"/>
  <c r="B135" i="105"/>
  <c r="H134" i="105"/>
  <c r="G134" i="105"/>
  <c r="F134" i="105"/>
  <c r="E134" i="105"/>
  <c r="D134" i="105"/>
  <c r="C134" i="105"/>
  <c r="B134" i="105"/>
  <c r="H133" i="105"/>
  <c r="G133" i="105"/>
  <c r="F133" i="105"/>
  <c r="E133" i="105"/>
  <c r="D133" i="105"/>
  <c r="C133" i="105"/>
  <c r="B133" i="105"/>
  <c r="H132" i="105"/>
  <c r="G132" i="105"/>
  <c r="F132" i="105"/>
  <c r="E132" i="105"/>
  <c r="D132" i="105"/>
  <c r="C132" i="105"/>
  <c r="B132" i="105"/>
  <c r="H131" i="105"/>
  <c r="G131" i="105"/>
  <c r="F131" i="105"/>
  <c r="E131" i="105"/>
  <c r="D131" i="105"/>
  <c r="C131" i="105"/>
  <c r="B131" i="105"/>
  <c r="H130" i="105"/>
  <c r="G130" i="105"/>
  <c r="F130" i="105"/>
  <c r="E130" i="105"/>
  <c r="D130" i="105"/>
  <c r="C130" i="105"/>
  <c r="B130" i="105"/>
  <c r="H129" i="105"/>
  <c r="G129" i="105"/>
  <c r="F129" i="105"/>
  <c r="E129" i="105"/>
  <c r="D129" i="105"/>
  <c r="C129" i="105"/>
  <c r="B129" i="105"/>
  <c r="H128" i="105"/>
  <c r="G128" i="105"/>
  <c r="F128" i="105"/>
  <c r="E128" i="105"/>
  <c r="D128" i="105"/>
  <c r="C128" i="105"/>
  <c r="B128" i="105"/>
  <c r="H127" i="105"/>
  <c r="G127" i="105"/>
  <c r="F127" i="105"/>
  <c r="E127" i="105"/>
  <c r="D127" i="105"/>
  <c r="C127" i="105"/>
  <c r="B127" i="105"/>
  <c r="H126" i="105"/>
  <c r="G126" i="105"/>
  <c r="F126" i="105"/>
  <c r="E126" i="105"/>
  <c r="D126" i="105"/>
  <c r="C126" i="105"/>
  <c r="B126" i="105"/>
  <c r="H125" i="105"/>
  <c r="G125" i="105"/>
  <c r="F125" i="105"/>
  <c r="E125" i="105"/>
  <c r="D125" i="105"/>
  <c r="C125" i="105"/>
  <c r="B125" i="105"/>
  <c r="G60" i="105"/>
  <c r="G59" i="105"/>
  <c r="G58" i="105"/>
  <c r="G57" i="105"/>
  <c r="G56" i="105"/>
  <c r="G55" i="105"/>
  <c r="G54" i="105"/>
  <c r="G53" i="105"/>
  <c r="G52" i="105"/>
  <c r="G51" i="105"/>
  <c r="G50" i="105"/>
  <c r="G49" i="105"/>
  <c r="G48" i="105"/>
  <c r="G47" i="105"/>
  <c r="G46" i="105"/>
  <c r="G45" i="105"/>
  <c r="G44" i="105"/>
  <c r="G43" i="105"/>
  <c r="G42" i="105"/>
  <c r="G41" i="105"/>
  <c r="G40" i="105"/>
  <c r="G39" i="105"/>
  <c r="G38" i="105"/>
  <c r="G37" i="105"/>
  <c r="G36" i="105"/>
  <c r="G35" i="105"/>
  <c r="G34" i="105"/>
  <c r="G33" i="105"/>
  <c r="G32" i="105"/>
  <c r="G31" i="105"/>
  <c r="G30" i="105"/>
  <c r="G29" i="105"/>
  <c r="G28" i="105"/>
  <c r="G27" i="105"/>
  <c r="G26" i="105"/>
  <c r="G25" i="105"/>
  <c r="G24" i="105"/>
  <c r="G23" i="105"/>
  <c r="G22" i="105"/>
  <c r="K14" i="105"/>
  <c r="N14" i="105" s="1"/>
  <c r="G38" i="77" s="1"/>
  <c r="K23" i="48" s="1"/>
  <c r="J14" i="105"/>
  <c r="M14" i="105" s="1"/>
  <c r="G37" i="77" s="1"/>
  <c r="K22" i="48" s="1"/>
  <c r="K13" i="105"/>
  <c r="N13" i="105" s="1"/>
  <c r="J13" i="105"/>
  <c r="M13" i="105" s="1"/>
  <c r="K12" i="105"/>
  <c r="N12" i="105" s="1"/>
  <c r="J12" i="105"/>
  <c r="M12" i="105" s="1"/>
  <c r="K11" i="105"/>
  <c r="N11" i="105" s="1"/>
  <c r="J11" i="105"/>
  <c r="M11" i="105" s="1"/>
  <c r="K10" i="105"/>
  <c r="N10" i="105" s="1"/>
  <c r="J10" i="105"/>
  <c r="M10" i="105" s="1"/>
  <c r="K9" i="105"/>
  <c r="N9" i="105" s="1"/>
  <c r="J9" i="105"/>
  <c r="M9" i="105" s="1"/>
  <c r="K8" i="105"/>
  <c r="N8" i="105" s="1"/>
  <c r="J8" i="105"/>
  <c r="M8" i="105" s="1"/>
  <c r="K7" i="105"/>
  <c r="N7" i="105" s="1"/>
  <c r="J7" i="105"/>
  <c r="M7" i="105" s="1"/>
  <c r="K6" i="105"/>
  <c r="N6" i="105" s="1"/>
  <c r="J6" i="105"/>
  <c r="M6" i="105" s="1"/>
  <c r="K5" i="105"/>
  <c r="N5" i="105" s="1"/>
  <c r="J5" i="105"/>
  <c r="M5" i="105" s="1"/>
  <c r="K4" i="105"/>
  <c r="N4" i="105" s="1"/>
  <c r="J4" i="105"/>
  <c r="M4" i="105" s="1"/>
  <c r="K3" i="105"/>
  <c r="N3" i="105" s="1"/>
  <c r="J3" i="105"/>
  <c r="M3" i="105" s="1"/>
  <c r="G27" i="57"/>
  <c r="J27" i="77"/>
  <c r="I27" i="77"/>
  <c r="H27" i="77"/>
  <c r="G27" i="77"/>
  <c r="J27" i="57"/>
  <c r="I27" i="57"/>
  <c r="H27" i="57"/>
  <c r="H1" i="57"/>
  <c r="D53" i="65"/>
  <c r="C51" i="65"/>
  <c r="C52" i="65"/>
  <c r="E35" i="65"/>
  <c r="E34" i="65"/>
  <c r="F36" i="65"/>
  <c r="F53" i="65"/>
  <c r="E51" i="65"/>
  <c r="E52" i="65"/>
  <c r="J16" i="77"/>
  <c r="J10" i="77"/>
  <c r="G1" i="57"/>
  <c r="G1" i="77" s="1"/>
  <c r="C1" i="83"/>
  <c r="D1" i="82"/>
  <c r="H20" i="48"/>
  <c r="K25" i="48"/>
  <c r="K24" i="48"/>
  <c r="J4" i="77"/>
  <c r="J16" i="57"/>
  <c r="G24" i="57"/>
  <c r="J22" i="57"/>
  <c r="J24" i="57"/>
  <c r="H8" i="57"/>
  <c r="H12" i="57"/>
  <c r="G18" i="57"/>
  <c r="I8" i="57"/>
  <c r="C44" i="65" s="1"/>
  <c r="J20" i="57"/>
  <c r="F46" i="65" s="1"/>
  <c r="G14" i="57"/>
  <c r="H16" i="57"/>
  <c r="F24" i="82" s="1"/>
  <c r="H10" i="57"/>
  <c r="F23" i="82" s="1"/>
  <c r="I4" i="57"/>
  <c r="C34" i="65" s="1"/>
  <c r="J26" i="77"/>
  <c r="H26" i="77"/>
  <c r="J24" i="77"/>
  <c r="H24" i="77"/>
  <c r="J22" i="77"/>
  <c r="H22" i="77"/>
  <c r="J20" i="77"/>
  <c r="H20" i="77"/>
  <c r="J18" i="77"/>
  <c r="H18" i="77"/>
  <c r="J14" i="77"/>
  <c r="H14" i="77"/>
  <c r="J12" i="77"/>
  <c r="H12" i="77"/>
  <c r="J8" i="77"/>
  <c r="J6" i="77"/>
  <c r="I26" i="77"/>
  <c r="G26" i="77"/>
  <c r="I24" i="77"/>
  <c r="G24" i="77"/>
  <c r="I22" i="77"/>
  <c r="G22" i="77"/>
  <c r="I20" i="77"/>
  <c r="G20" i="77"/>
  <c r="I18" i="77"/>
  <c r="G18" i="77"/>
  <c r="I14" i="77"/>
  <c r="G14" i="77"/>
  <c r="I12" i="77"/>
  <c r="G12" i="77"/>
  <c r="I8" i="77"/>
  <c r="G8" i="77"/>
  <c r="I6" i="77"/>
  <c r="G6" i="77"/>
  <c r="H8" i="77"/>
  <c r="H6" i="77"/>
  <c r="H16" i="77"/>
  <c r="F24" i="48" s="1"/>
  <c r="G16" i="77"/>
  <c r="E24" i="48" s="1"/>
  <c r="H10" i="77"/>
  <c r="F23" i="48" s="1"/>
  <c r="G10" i="77"/>
  <c r="E23" i="48" s="1"/>
  <c r="H4" i="77"/>
  <c r="F22" i="48" s="1"/>
  <c r="G4" i="77"/>
  <c r="E22" i="48" s="1"/>
  <c r="I4" i="77"/>
  <c r="I10" i="77"/>
  <c r="I16" i="77"/>
  <c r="I31" i="77"/>
  <c r="C16" i="77"/>
  <c r="D35" i="77"/>
  <c r="D37" i="77"/>
  <c r="D35" i="57"/>
  <c r="C12" i="77"/>
  <c r="C9" i="77"/>
  <c r="C11" i="57"/>
  <c r="C13" i="77"/>
  <c r="C28" i="57"/>
  <c r="D24" i="77"/>
  <c r="C5" i="57"/>
  <c r="C30" i="57"/>
  <c r="D30" i="77"/>
  <c r="C15" i="57"/>
  <c r="C19" i="77"/>
  <c r="C21" i="77"/>
  <c r="C36" i="57"/>
  <c r="D29" i="57"/>
  <c r="C15" i="77"/>
  <c r="C30" i="77"/>
  <c r="C7" i="77"/>
  <c r="C34" i="77"/>
  <c r="C18" i="77"/>
  <c r="C10" i="57"/>
  <c r="D34" i="57"/>
  <c r="D28" i="77"/>
  <c r="C11" i="77"/>
  <c r="C45" i="77"/>
  <c r="C10" i="77"/>
  <c r="C21" i="57"/>
  <c r="C6" i="77"/>
  <c r="C44" i="77"/>
  <c r="C23" i="57"/>
  <c r="C28" i="77"/>
  <c r="C39" i="77"/>
  <c r="C26" i="77"/>
  <c r="C37" i="77"/>
  <c r="D26" i="77"/>
  <c r="D34" i="77"/>
  <c r="D37" i="57"/>
  <c r="D24" i="57"/>
  <c r="D23" i="77"/>
  <c r="C29" i="77"/>
  <c r="C4" i="77"/>
  <c r="C24" i="57"/>
  <c r="C39" i="57"/>
  <c r="C8" i="77"/>
  <c r="C29" i="57"/>
  <c r="C43" i="77"/>
  <c r="C23" i="77"/>
  <c r="C42" i="77"/>
  <c r="C14" i="57"/>
  <c r="C6" i="57"/>
  <c r="D25" i="77"/>
  <c r="C43" i="57"/>
  <c r="C14" i="77"/>
  <c r="C20" i="77"/>
  <c r="C25" i="77"/>
  <c r="C35" i="77"/>
  <c r="D29" i="77"/>
  <c r="C16" i="57"/>
  <c r="C24" i="77"/>
  <c r="C5" i="77"/>
  <c r="B73" i="105" l="1"/>
  <c r="F73" i="105"/>
  <c r="J31" i="77"/>
  <c r="I16" i="57"/>
  <c r="D36" i="65" s="1"/>
  <c r="H4" i="57"/>
  <c r="F22" i="82" s="1"/>
  <c r="J6" i="57"/>
  <c r="E39" i="65" s="1"/>
  <c r="I18" i="57"/>
  <c r="D41" i="65" s="1"/>
  <c r="I14" i="57"/>
  <c r="C45" i="65" s="1"/>
  <c r="H6" i="57"/>
  <c r="J18" i="57"/>
  <c r="F41" i="65" s="1"/>
  <c r="J12" i="57"/>
  <c r="E40" i="65" s="1"/>
  <c r="I22" i="57"/>
  <c r="H26" i="57"/>
  <c r="G22" i="57"/>
  <c r="J32" i="57"/>
  <c r="G159" i="105"/>
  <c r="G149" i="105"/>
  <c r="H31" i="77"/>
  <c r="I10" i="57"/>
  <c r="C35" i="65" s="1"/>
  <c r="G4" i="57"/>
  <c r="E22" i="82" s="1"/>
  <c r="G16" i="57"/>
  <c r="E24" i="82" s="1"/>
  <c r="G10" i="57"/>
  <c r="E23" i="82" s="1"/>
  <c r="G6" i="57"/>
  <c r="G8" i="57"/>
  <c r="G20" i="57"/>
  <c r="H20" i="57"/>
  <c r="H14" i="57"/>
  <c r="J14" i="57"/>
  <c r="E45" i="65" s="1"/>
  <c r="I6" i="57"/>
  <c r="C39" i="65" s="1"/>
  <c r="G12" i="57"/>
  <c r="H18" i="57"/>
  <c r="I20" i="57"/>
  <c r="D46" i="65" s="1"/>
  <c r="I12" i="57"/>
  <c r="C40" i="65" s="1"/>
  <c r="J8" i="57"/>
  <c r="E44" i="65" s="1"/>
  <c r="H24" i="57"/>
  <c r="I26" i="57"/>
  <c r="H22" i="57"/>
  <c r="I24" i="57"/>
  <c r="J26" i="57"/>
  <c r="G26" i="57"/>
  <c r="A140" i="65"/>
  <c r="G32" i="57"/>
  <c r="G157" i="105"/>
  <c r="G153" i="105"/>
  <c r="G148" i="105"/>
  <c r="E73" i="105"/>
  <c r="C73" i="105"/>
  <c r="G142" i="65"/>
  <c r="G158" i="105"/>
  <c r="G156" i="105"/>
  <c r="G154" i="105"/>
  <c r="G152" i="105"/>
  <c r="G150" i="105"/>
  <c r="F148" i="105"/>
  <c r="I160" i="105"/>
  <c r="G33" i="77" s="1"/>
  <c r="K20" i="48" s="1"/>
  <c r="D141" i="65"/>
  <c r="K141" i="65"/>
  <c r="H141" i="65"/>
  <c r="E141" i="65"/>
  <c r="G31" i="77"/>
  <c r="H142" i="65"/>
  <c r="F141" i="65"/>
  <c r="C142" i="65"/>
  <c r="G141" i="65"/>
  <c r="F159" i="105"/>
  <c r="F158" i="105"/>
  <c r="F157" i="105"/>
  <c r="F156" i="105"/>
  <c r="H156" i="105" s="1"/>
  <c r="I156" i="105" s="1"/>
  <c r="F155" i="105"/>
  <c r="H155" i="105" s="1"/>
  <c r="I155" i="105" s="1"/>
  <c r="F154" i="105"/>
  <c r="F153" i="105"/>
  <c r="F152" i="105"/>
  <c r="H152" i="105" s="1"/>
  <c r="I152" i="105" s="1"/>
  <c r="F151" i="105"/>
  <c r="H151" i="105" s="1"/>
  <c r="F150" i="105"/>
  <c r="F149" i="105"/>
  <c r="J140" i="65"/>
  <c r="E140" i="65"/>
  <c r="J141" i="65"/>
  <c r="G140" i="65"/>
  <c r="D142" i="65"/>
  <c r="F140" i="65"/>
  <c r="F142" i="65"/>
  <c r="I140" i="65"/>
  <c r="D140" i="65"/>
  <c r="C141" i="65"/>
  <c r="J28" i="57"/>
  <c r="K140" i="65"/>
  <c r="H140" i="65"/>
  <c r="E142" i="65"/>
  <c r="K1" i="83"/>
  <c r="K1" i="46"/>
  <c r="I141" i="65"/>
  <c r="G38" i="57"/>
  <c r="K23" i="82" s="1"/>
  <c r="J30" i="57"/>
  <c r="I34" i="57"/>
  <c r="I35" i="57"/>
  <c r="I36" i="57"/>
  <c r="I37" i="57"/>
  <c r="I38" i="57"/>
  <c r="G29" i="57"/>
  <c r="G28" i="57"/>
  <c r="G37" i="57"/>
  <c r="K22" i="82" s="1"/>
  <c r="G39" i="57"/>
  <c r="K24" i="82" s="1"/>
  <c r="G40" i="57"/>
  <c r="K25" i="82" s="1"/>
  <c r="H30" i="57"/>
  <c r="I29" i="57"/>
  <c r="I28" i="57"/>
  <c r="D10" i="57"/>
  <c r="C20" i="83"/>
  <c r="D5" i="77"/>
  <c r="D14" i="77"/>
  <c r="D10" i="77"/>
  <c r="D20" i="77"/>
  <c r="C33" i="77"/>
  <c r="C40" i="77"/>
  <c r="F20" i="46" s="1"/>
  <c r="D21" i="57"/>
  <c r="D6" i="77"/>
  <c r="D15" i="77"/>
  <c r="D11" i="77"/>
  <c r="D21" i="77"/>
  <c r="D33" i="77"/>
  <c r="D16" i="57"/>
  <c r="D11" i="57"/>
  <c r="D12" i="77"/>
  <c r="D16" i="77"/>
  <c r="D18" i="77"/>
  <c r="C32" i="77"/>
  <c r="C20" i="46"/>
  <c r="C41" i="77"/>
  <c r="I20" i="46" s="1"/>
  <c r="D15" i="57"/>
  <c r="C32" i="57"/>
  <c r="C40" i="57"/>
  <c r="F20" i="83" s="1"/>
  <c r="D14" i="57"/>
  <c r="D13" i="77"/>
  <c r="D9" i="77"/>
  <c r="D19" i="77"/>
  <c r="D32" i="77"/>
  <c r="L20" i="46"/>
  <c r="G30" i="57"/>
  <c r="I30" i="57"/>
  <c r="J29" i="57"/>
  <c r="H29" i="57"/>
  <c r="H28" i="57"/>
  <c r="C4" i="57"/>
  <c r="D28" i="57"/>
  <c r="D30" i="57"/>
  <c r="C26" i="57"/>
  <c r="C42" i="57"/>
  <c r="D36" i="57"/>
  <c r="D25" i="57"/>
  <c r="C45" i="57"/>
  <c r="C7" i="57"/>
  <c r="C34" i="57"/>
  <c r="D26" i="57"/>
  <c r="C20" i="57"/>
  <c r="C13" i="57"/>
  <c r="C35" i="57"/>
  <c r="C44" i="57"/>
  <c r="C37" i="57"/>
  <c r="D23" i="57"/>
  <c r="C18" i="57"/>
  <c r="C9" i="57"/>
  <c r="C19" i="57"/>
  <c r="C25" i="57"/>
  <c r="C8" i="57"/>
  <c r="C12" i="57"/>
  <c r="H148" i="105" l="1"/>
  <c r="I148" i="105" s="1"/>
  <c r="H159" i="105"/>
  <c r="I159" i="105" s="1"/>
  <c r="K142" i="65"/>
  <c r="J142" i="65"/>
  <c r="H153" i="105"/>
  <c r="I153" i="105" s="1"/>
  <c r="I142" i="65"/>
  <c r="C140" i="65"/>
  <c r="H149" i="105"/>
  <c r="I149" i="105" s="1"/>
  <c r="H157" i="105"/>
  <c r="I157" i="105" s="1"/>
  <c r="D19" i="57"/>
  <c r="L20" i="83"/>
  <c r="D32" i="57"/>
  <c r="D18" i="57"/>
  <c r="D20" i="57"/>
  <c r="D33" i="57"/>
  <c r="D9" i="57"/>
  <c r="D13" i="57"/>
  <c r="C41" i="57"/>
  <c r="I20" i="83" s="1"/>
  <c r="D12" i="57"/>
  <c r="D6" i="57"/>
  <c r="D5" i="57"/>
  <c r="C33" i="57"/>
  <c r="H154" i="105"/>
  <c r="I154" i="105" s="1"/>
  <c r="H150" i="105"/>
  <c r="I150" i="105" s="1"/>
  <c r="H158" i="105"/>
  <c r="I158" i="105" s="1"/>
  <c r="H178" i="105"/>
  <c r="G178" i="105" s="1"/>
  <c r="F178" i="105" s="1"/>
  <c r="J159" i="105" s="1"/>
  <c r="H173" i="105"/>
  <c r="G173" i="105" s="1"/>
  <c r="F173" i="105" s="1"/>
  <c r="J154" i="105" s="1"/>
  <c r="I151" i="105"/>
  <c r="H170" i="105"/>
  <c r="G170" i="105" s="1"/>
  <c r="F170" i="105" s="1"/>
  <c r="J151" i="105" s="1"/>
  <c r="J31" i="57"/>
  <c r="G31" i="57"/>
  <c r="H31" i="57"/>
  <c r="G34" i="57"/>
  <c r="K20" i="82" s="1"/>
  <c r="H175" i="105"/>
  <c r="G175" i="105" s="1"/>
  <c r="F175" i="105" s="1"/>
  <c r="J156" i="105" s="1"/>
  <c r="H171" i="105"/>
  <c r="G171" i="105" s="1"/>
  <c r="F171" i="105" s="1"/>
  <c r="J152" i="105" s="1"/>
  <c r="H172" i="105"/>
  <c r="G172" i="105" s="1"/>
  <c r="F172" i="105" s="1"/>
  <c r="J153" i="105" s="1"/>
  <c r="I31" i="57"/>
  <c r="H174" i="105"/>
  <c r="G174" i="105" s="1"/>
  <c r="F174" i="105" s="1"/>
  <c r="J155" i="105" s="1"/>
  <c r="H167" i="105" l="1"/>
  <c r="G167" i="105" s="1"/>
  <c r="F167" i="105" s="1"/>
  <c r="J148" i="105" s="1"/>
  <c r="H176" i="105"/>
  <c r="G176" i="105" s="1"/>
  <c r="F176" i="105" s="1"/>
  <c r="J157" i="105" s="1"/>
  <c r="H177" i="105"/>
  <c r="G177" i="105" s="1"/>
  <c r="F177" i="105" s="1"/>
  <c r="J158" i="105" s="1"/>
  <c r="H168" i="105"/>
  <c r="G168" i="105" s="1"/>
  <c r="F168" i="105" s="1"/>
  <c r="J149" i="105" s="1"/>
  <c r="H169" i="105"/>
  <c r="G169" i="105" s="1"/>
  <c r="F169" i="105" s="1"/>
  <c r="J150" i="105" s="1"/>
  <c r="G35" i="57"/>
</calcChain>
</file>

<file path=xl/comments1.xml><?xml version="1.0" encoding="utf-8"?>
<comments xmlns="http://schemas.openxmlformats.org/spreadsheetml/2006/main">
  <authors>
    <author>swheeler</author>
  </authors>
  <commentList>
    <comment ref="B1" authorId="0">
      <text>
        <r>
          <rPr>
            <sz val="10"/>
            <color indexed="81"/>
            <rFont val="Calibri"/>
            <family val="2"/>
            <scheme val="minor"/>
          </rPr>
          <t xml:space="preserve">
</t>
        </r>
        <r>
          <rPr>
            <b/>
            <sz val="14"/>
            <color indexed="81"/>
            <rFont val="Calibri"/>
            <family val="2"/>
            <scheme val="minor"/>
          </rPr>
          <t>Use this drop down box to change areas.</t>
        </r>
      </text>
    </comment>
  </commentList>
</comments>
</file>

<file path=xl/connections.xml><?xml version="1.0" encoding="utf-8"?>
<connections xmlns="http://schemas.openxmlformats.org/spreadsheetml/2006/main">
  <connection id="1" sourceFile="\\esd1floly\users\SWheeler\Shared Folder\Databases\DASHBOARD.accdb" keepAlive="1" name="DASHBOARD" type="5" refreshedVersion="3" background="1" saveData="1">
    <dbPr connection="Provider=Microsoft.ACE.OLEDB.12.0;User ID=Admin;Data Source=\\esd1floly\users\SWheeler\Shared Folder\Databases\DASHBOARD.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1CustomerFlowTable" commandType="3"/>
  </connection>
  <connection id="2" sourceFile="\\esd1floly\users\SWheeler\Shared Folder\Databases\DASHBOARD.accdb" keepAlive="1" name="DASHBOARD1" type="5" refreshedVersion="3" background="1" saveData="1">
    <dbPr connection="Provider=Microsoft.ACE.OLEDB.12.0;User ID=Admin;Data Source=\\esd1floly\users\SWheeler\Shared Folder\Databases\DASHBOARD.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MgtIndTable" commandType="3"/>
  </connection>
  <connection id="3" sourceFile="\\esd1floly\users\SWheeler\Shared Folder\Databases\DASHBOARD.accdb" keepAlive="1" name="DASHBOARD2" type="5" refreshedVersion="3" background="1" saveData="1">
    <dbPr connection="Provider=Microsoft.ACE.OLEDB.12.0;User ID=Admin;Data Source=\\esd1floly\users\SWheeler\Shared Folder\Databases\DASHBOARD.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2ProgramChartTable" commandType="3"/>
  </connection>
  <connection id="4" sourceFile="\\esd1floly\users\SWheeler\Shared Folder\Databases\DASHBOARD.accdb" keepAlive="1" name="DASHBOARD3" type="5" refreshedVersion="3" background="1" saveData="1">
    <dbPr connection="Provider=Microsoft.ACE.OLEDB.12.0;User ID=Admin;Data Source=\\esd1floly\users\SWheeler\Shared Folder\Databases\DASHBOARD.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3EmployerServicesTable" commandType="3"/>
  </connection>
  <connection id="5" sourceFile="\\esd1floly\users\SWheeler\Shared Folder\Databases\DASHBOARD.accdb" keepAlive="1" name="DASHBOARD4" type="5" refreshedVersion="3" background="1" saveData="1">
    <dbPr connection="Provider=Microsoft.ACE.OLEDB.12.0;User ID=Admin;Data Source=\\esd1floly\users\SWheeler\Shared Folder\Databases\DASHBOARD.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4FinalJobOrderstable" commandType="3"/>
  </connection>
  <connection id="6" sourceFile="\\esd1floly\users\SWheeler\Shared Folder\Databases\DASHBOARD.accdb" keepAlive="1" name="DASHBOARD5" type="5" refreshedVersion="3" background="1" saveData="1">
    <dbPr connection="Provider=Microsoft.ACE.OLEDB.12.0;User ID=Admin;Data Source=\\esd1floly\users\SWheeler\Shared Folder\Databases\DASHBOARD.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BottomBarTAble" commandType="3"/>
  </connection>
  <connection id="7" sourceFile="\\esd1floly02\users\SWheeler\Shared Folder\Databases\DASHBOARD.accdb" keepAlive="1" name="DASHBOARD6" type="5" refreshedVersion="3">
    <dbPr connection="Provider=Microsoft.ACE.OLEDB.12.0;User ID=Admin;Data Source=\\esd1floly02\users\SWheeler\Shared Folder\Databases\DASHBOARD.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EOFinalTable" commandType="3"/>
  </connection>
  <connection id="8" sourceFile="\\esd1floly02\users\SWheeler\Shared Folder\Databases\DASHBOARD.accdb" keepAlive="1" name="DASHBOARD7" type="5" refreshedVersion="3">
    <dbPr connection="Provider=Microsoft.ACE.OLEDB.12.0;User ID=Admin;Data Source=\\esd1floly02\users\SWheeler\Shared Folder\Databases\DASHBOARD.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EOWIAFINALTABLE" commandType="3"/>
  </connection>
  <connection id="9" sourceFile="\\esd1floly\users\SWheeler\Shared Folder\Databases\State DASHBOARD.accdb" keepAlive="1" name="State DASHBOARD" type="5" refreshedVersion="3" background="1" saveData="1">
    <dbPr connection="Provider=Microsoft.ACE.OLEDB.12.0;User ID=Admin;Data Source=\\esd1floly\users\SWheeler\Shared Folder\Databases\State DASHBOARD.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1CustomerFlowTable" commandType="3"/>
  </connection>
  <connection id="10" sourceFile="\\esd1floly\users\SWheeler\Shared Folder\Databases\State DASHBOARD.accdb" keepAlive="1" name="State DASHBOARD1" type="5" refreshedVersion="3" background="1" saveData="1">
    <dbPr connection="Provider=Microsoft.ACE.OLEDB.12.0;User ID=Admin;Data Source=\\esd1floly\users\SWheeler\Shared Folder\Databases\State DASHBOARD.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MgtIndTable" commandType="3"/>
  </connection>
  <connection id="11" sourceFile="\\esd1floly\users\SWheeler\Shared Folder\Databases\State DASHBOARD.accdb" keepAlive="1" name="State DASHBOARD2" type="5" refreshedVersion="3" background="1" saveData="1">
    <dbPr connection="Provider=Microsoft.ACE.OLEDB.12.0;User ID=Admin;Data Source=\\esd1floly\users\SWheeler\Shared Folder\Databases\State DASHBOARD.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2ProgramChartTable" commandType="3"/>
  </connection>
  <connection id="12" sourceFile="\\esd1floly\users\SWheeler\Shared Folder\Databases\State DASHBOARD.accdb" keepAlive="1" name="State DASHBOARD3" type="5" refreshedVersion="3" background="1" saveData="1">
    <dbPr connection="Provider=Microsoft.ACE.OLEDB.12.0;User ID=Admin;Data Source=\\esd1floly\users\SWheeler\Shared Folder\Databases\State DASHBOARD.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3EmployerServicesTable" commandType="3"/>
  </connection>
  <connection id="13" sourceFile="\\esd1floly\users\SWheeler\Shared Folder\Databases\State DASHBOARD.accdb" keepAlive="1" name="State DASHBOARD4" type="5" refreshedVersion="3" background="1" saveData="1">
    <dbPr connection="Provider=Microsoft.ACE.OLEDB.12.0;User ID=Admin;Data Source=\\esd1floly\users\SWheeler\Shared Folder\Databases\State DASHBOARD.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4FinalJobOrderstable" commandType="3"/>
  </connection>
  <connection id="14" sourceFile="\\esd1floly\users\SWheeler\Shared Folder\Databases\State DASHBOARD.accdb" keepAlive="1" name="State DASHBOARD5" type="5" refreshedVersion="3" background="1" saveData="1">
    <dbPr connection="Provider=Microsoft.ACE.OLEDB.12.0;User ID=Admin;Data Source=\\esd1floly\users\SWheeler\Shared Folder\Databases\State DASHBOARD.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BottomBarTAble" commandType="3"/>
  </connection>
  <connection id="15" sourceFile="\\esd1floly02\users\SWheeler\Shared Folder\Databases\State DASHBOARD.accdb" keepAlive="1" name="State DASHBOARD6" type="5" refreshedVersion="3">
    <dbPr connection="Provider=Microsoft.ACE.OLEDB.12.0;User ID=Admin;Data Source=\\esd1floly02\users\SWheeler\Shared Folder\Databases\State DASHBOARD.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EOFinalTable" commandType="3"/>
  </connection>
  <connection id="16" sourceFile="\\esd1floly02\users\SWheeler\Shared Folder\Databases\State DASHBOARD.accdb" keepAlive="1" name="State DASHBOARD7" type="5" refreshedVersion="3">
    <dbPr connection="Provider=Microsoft.ACE.OLEDB.12.0;User ID=Admin;Data Source=\\esd1floly02\users\SWheeler\Shared Folder\Databases\State DASHBOARD.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EOWIAFINALTABLE" commandType="3"/>
  </connection>
</connections>
</file>

<file path=xl/sharedStrings.xml><?xml version="1.0" encoding="utf-8"?>
<sst xmlns="http://schemas.openxmlformats.org/spreadsheetml/2006/main" count="1332" uniqueCount="699">
  <si>
    <t>Area</t>
  </si>
  <si>
    <t>Entered Employment</t>
  </si>
  <si>
    <t>Retention Rate</t>
  </si>
  <si>
    <t>Average Earnings</t>
  </si>
  <si>
    <t>WIA Youth</t>
  </si>
  <si>
    <t>Certificate Rate</t>
  </si>
  <si>
    <t>Literacy/Numeracy Rate</t>
  </si>
  <si>
    <t>Placement Rate</t>
  </si>
  <si>
    <t>All Customers</t>
  </si>
  <si>
    <t>WA Job Openings</t>
  </si>
  <si>
    <t>Adult</t>
  </si>
  <si>
    <t>Skill Development</t>
  </si>
  <si>
    <t>WIA Participants</t>
  </si>
  <si>
    <t>Program Participants</t>
  </si>
  <si>
    <t>New WIA Participants</t>
  </si>
  <si>
    <t>WIA Exiters</t>
  </si>
  <si>
    <t>Employers Served</t>
  </si>
  <si>
    <t># of Average Visits/Customer:</t>
  </si>
  <si>
    <t>Wage Replacement:</t>
  </si>
  <si>
    <t>Drop Out Rate</t>
  </si>
  <si>
    <t>Employed</t>
  </si>
  <si>
    <t>Wagner-Peyser</t>
  </si>
  <si>
    <t>Dislocated Worker</t>
  </si>
  <si>
    <t>Retained</t>
  </si>
  <si>
    <t>Total Exiters</t>
  </si>
  <si>
    <t>Total Wages</t>
  </si>
  <si>
    <t>Positive Outcomes</t>
  </si>
  <si>
    <t>Average Duration of Exiters:</t>
  </si>
  <si>
    <t>Trainees Completing</t>
  </si>
  <si>
    <t>Positve Outcomes</t>
  </si>
  <si>
    <t>Labor Market Conditions</t>
  </si>
  <si>
    <t>Unemployment Rate</t>
  </si>
  <si>
    <t>New Customers (staff assisted seekers-SAS)</t>
  </si>
  <si>
    <t>Total Visits (staff assisted customers</t>
  </si>
  <si>
    <t>Average Visits</t>
  </si>
  <si>
    <t>Wage Replacement</t>
  </si>
  <si>
    <t>Area's 6 Month Average Wage</t>
  </si>
  <si>
    <t>Number with HS degree (of population)</t>
  </si>
  <si>
    <t>Number with College degree (of populaton)</t>
  </si>
  <si>
    <t>Core/Intensive Only</t>
  </si>
  <si>
    <t>Training</t>
  </si>
  <si>
    <t>Self-Service Only</t>
  </si>
  <si>
    <t>Core Only</t>
  </si>
  <si>
    <t xml:space="preserve">Assessment </t>
  </si>
  <si>
    <t>Referral to Community Services</t>
  </si>
  <si>
    <t>Actual %</t>
  </si>
  <si>
    <t>Placements</t>
  </si>
  <si>
    <t xml:space="preserve"> Pre-Program Wages (Last Job Wages)</t>
  </si>
  <si>
    <t>Post-Program Wages (Placement Wages)</t>
  </si>
  <si>
    <t>Unduplicated count of the seekers who received a core service and did not receive an intensive or training service during the quarter</t>
  </si>
  <si>
    <t>Unduplicated count of all seekers with at least one day of enrollment during the quarter in a WIA program (Youth, Adult, DW)</t>
  </si>
  <si>
    <t>Unduplicated count of all seekers who began enrollment during the quarter in a WIA program (Youth, Adult, DW)</t>
  </si>
  <si>
    <t>Count of all job openings associated with any WA job order opened during the quarter</t>
  </si>
  <si>
    <t>Unduplicated count of all employers served with any service (including job referrals, postings and outreach) during the quarter</t>
  </si>
  <si>
    <t>Total Visits (staff assisted customers)</t>
  </si>
  <si>
    <t>Dividing the number of visits by the number of staff assisted seekers</t>
  </si>
  <si>
    <t>The division of the average Placement wage by the Last Job wage</t>
  </si>
  <si>
    <t>Common Measures Results</t>
  </si>
  <si>
    <t>Common Measures Targets</t>
  </si>
  <si>
    <t>Measures Side</t>
  </si>
  <si>
    <t>Indicators Side</t>
  </si>
  <si>
    <t>These common measures are the four quarter cumulative results.</t>
  </si>
  <si>
    <t>Staff-Assisted Customers</t>
  </si>
  <si>
    <t>Box Flow Chart</t>
  </si>
  <si>
    <t>Program Participants Column Chart</t>
  </si>
  <si>
    <t>Employer Services Column Chart</t>
  </si>
  <si>
    <t>Job Orders Bar Chart</t>
  </si>
  <si>
    <t>Bottom Bar (Footer)</t>
  </si>
  <si>
    <t>New Staff Assisted Customers:</t>
  </si>
  <si>
    <t>Of the Staff-Assisted Customer Group, how many did not have a state (non-local) staff-assisted service the previous quarter.</t>
  </si>
  <si>
    <t>Targets are negotiated between the WTECB and the Department of Labor on an annual to semi-annual schedule (by May and/or December of each year)</t>
  </si>
  <si>
    <t>Area's 6 Month Average Wage (click for source)</t>
  </si>
  <si>
    <t>Drop Out Rate (click for source)</t>
  </si>
  <si>
    <t>Of the total population over the age of 25, % with a College Degree (or equivalent) or more</t>
  </si>
  <si>
    <t>Unduplicated count of all seekers receiving a state (non-local) staff assisted service, logging into SSMS and/or logging into Go2WorkSource during the quarter</t>
  </si>
  <si>
    <t>Unduplicated count of the seekers who received a core and intensive service but not training,during the quarter</t>
  </si>
  <si>
    <t>Customer Flow Boxes</t>
  </si>
  <si>
    <t>Management Indicators</t>
  </si>
  <si>
    <t>Employer Services</t>
  </si>
  <si>
    <t>Job Orders</t>
  </si>
  <si>
    <t>Bottom Bar Data</t>
  </si>
  <si>
    <t>Staff Assisted Customers</t>
  </si>
  <si>
    <t>New In Training</t>
  </si>
  <si>
    <t>Ongoing Training</t>
  </si>
  <si>
    <t>Currrent Q</t>
  </si>
  <si>
    <t>Last Year</t>
  </si>
  <si>
    <t>Olympic</t>
  </si>
  <si>
    <t>APR-JUN 2011</t>
  </si>
  <si>
    <t>% of Population +25 w/ College Degree</t>
  </si>
  <si>
    <t>Area Profile</t>
  </si>
  <si>
    <t>Highest Growth Industry</t>
  </si>
  <si>
    <t>Target</t>
  </si>
  <si>
    <t>Workforce Development Area</t>
  </si>
  <si>
    <t>Entered Employment Base</t>
  </si>
  <si>
    <t>Entered Employment Rate</t>
  </si>
  <si>
    <t>Employment Retention</t>
  </si>
  <si>
    <t>Employment Retention Base</t>
  </si>
  <si>
    <t>Employment Retention Rate</t>
  </si>
  <si>
    <t>Total Earnings</t>
  </si>
  <si>
    <t>Average Earnings Base</t>
  </si>
  <si>
    <t>Benton/Franklin</t>
  </si>
  <si>
    <t>Eastern Washington</t>
  </si>
  <si>
    <t>North Central</t>
  </si>
  <si>
    <t>Northwest</t>
  </si>
  <si>
    <t>Pacific Mountain</t>
  </si>
  <si>
    <t>Seattle - King County</t>
  </si>
  <si>
    <t>Snohomish</t>
  </si>
  <si>
    <t>South Central</t>
  </si>
  <si>
    <t>Southwest Washington</t>
  </si>
  <si>
    <t>Spokane</t>
  </si>
  <si>
    <t>Tacoma - Pierce</t>
  </si>
  <si>
    <t>Statewide</t>
  </si>
  <si>
    <t>Area Labor Force</t>
  </si>
  <si>
    <t>Avg. Months Duration of Exiters:</t>
  </si>
  <si>
    <t>XII</t>
  </si>
  <si>
    <t>XI</t>
  </si>
  <si>
    <t>X</t>
  </si>
  <si>
    <t>IX</t>
  </si>
  <si>
    <t>VIII</t>
  </si>
  <si>
    <t>VII</t>
  </si>
  <si>
    <t>VI</t>
  </si>
  <si>
    <t>V</t>
  </si>
  <si>
    <t>IV</t>
  </si>
  <si>
    <t>III</t>
  </si>
  <si>
    <t>II</t>
  </si>
  <si>
    <t>I</t>
  </si>
  <si>
    <t>Bachelor's or More</t>
  </si>
  <si>
    <t>Advanced Degree</t>
  </si>
  <si>
    <t>Bachelor's Degree</t>
  </si>
  <si>
    <t>AA Degree</t>
  </si>
  <si>
    <t>Some College</t>
  </si>
  <si>
    <t>HS Diploma or Equivalent</t>
  </si>
  <si>
    <t>Some High School</t>
  </si>
  <si>
    <t>Less than 9th Grade</t>
  </si>
  <si>
    <t>Population Aged 25+</t>
  </si>
  <si>
    <t>State</t>
  </si>
  <si>
    <t>PacMtn</t>
  </si>
  <si>
    <t>King</t>
  </si>
  <si>
    <t>Pierce</t>
  </si>
  <si>
    <t>Southwest</t>
  </si>
  <si>
    <t>Eastern</t>
  </si>
  <si>
    <t>Benton-Franklin</t>
  </si>
  <si>
    <t>WIA</t>
  </si>
  <si>
    <t>Adult Entered Employment</t>
  </si>
  <si>
    <t>Adult Entered Employment Rate</t>
  </si>
  <si>
    <t xml:space="preserve"> DW Entered Employment</t>
  </si>
  <si>
    <t>DW Entered Employment Base</t>
  </si>
  <si>
    <t>DW Entered Employment Rate</t>
  </si>
  <si>
    <t>Actual</t>
  </si>
  <si>
    <t>Actual $</t>
  </si>
  <si>
    <t>Target $</t>
  </si>
  <si>
    <t>Row Labels</t>
  </si>
  <si>
    <t>Grand Total</t>
  </si>
  <si>
    <t>Values</t>
  </si>
  <si>
    <r>
      <t xml:space="preserve">Dashboard : </t>
    </r>
    <r>
      <rPr>
        <b/>
        <i/>
        <sz val="22"/>
        <color theme="1"/>
        <rFont val="Calibri"/>
        <family val="2"/>
        <scheme val="minor"/>
      </rPr>
      <t>Measures</t>
    </r>
  </si>
  <si>
    <t>Sum of currentprogram</t>
  </si>
  <si>
    <t>Sum of program1yearago</t>
  </si>
  <si>
    <t>Sum of wiacurrent</t>
  </si>
  <si>
    <t>Sum of wianew1yearago</t>
  </si>
  <si>
    <t>Sum of wianewcurrent</t>
  </si>
  <si>
    <t>Sum of wia1yearago</t>
  </si>
  <si>
    <t>Sum of wiaexitcurrent</t>
  </si>
  <si>
    <t>Sum of wiaexit1yearago</t>
  </si>
  <si>
    <t>Area Unemployed</t>
  </si>
  <si>
    <t>EE Target:</t>
  </si>
  <si>
    <t>Retention Target:</t>
  </si>
  <si>
    <t>Earnings Target:</t>
  </si>
  <si>
    <t>Adult EE Target</t>
  </si>
  <si>
    <t>DW EE Target</t>
  </si>
  <si>
    <t>Youth Certificate Target</t>
  </si>
  <si>
    <t>Adult Retention</t>
  </si>
  <si>
    <t>Adult Retention Base</t>
  </si>
  <si>
    <t>Adult Retention Rate</t>
  </si>
  <si>
    <t>Adult Retention Target</t>
  </si>
  <si>
    <t>Adult Earnings</t>
  </si>
  <si>
    <t>Adult Earnings Base</t>
  </si>
  <si>
    <t>Adult Average Earnings</t>
  </si>
  <si>
    <t>Adult Average Earnings Target</t>
  </si>
  <si>
    <t>OCT-DEC 2010</t>
  </si>
  <si>
    <t>JAN-MAR 2011</t>
  </si>
  <si>
    <t>JUL-SEP 2011</t>
  </si>
  <si>
    <t>OCT-DEC 2011</t>
  </si>
  <si>
    <t>JAN-MAR 2010</t>
  </si>
  <si>
    <t>OCT-DEC 2009</t>
  </si>
  <si>
    <t>APR-JUN 2010</t>
  </si>
  <si>
    <t>JUL-SEP 2010</t>
  </si>
  <si>
    <t>% of Staff Assisted Customers</t>
  </si>
  <si>
    <t>Indicators</t>
  </si>
  <si>
    <t>Measures</t>
  </si>
  <si>
    <t>Of the WA job orders opened during the quarter the # of placements on those job orders compared to the number of job openings for those same orders. Data continues to mature after this snapshot.</t>
  </si>
  <si>
    <t>All Customers Common Measures</t>
  </si>
  <si>
    <t>Lowest Growth Industry</t>
  </si>
  <si>
    <t>Measure</t>
  </si>
  <si>
    <t>Total Population</t>
  </si>
  <si>
    <t>% of Population +25  w/ High School</t>
  </si>
  <si>
    <t>Customer Flow Table</t>
  </si>
  <si>
    <t>Yakima County</t>
  </si>
  <si>
    <t>Whitman County</t>
  </si>
  <si>
    <t>Whatcom County</t>
  </si>
  <si>
    <t>Walla Walla County</t>
  </si>
  <si>
    <t>Wahkiakum County</t>
  </si>
  <si>
    <t>Thurston County</t>
  </si>
  <si>
    <t>Stevens County</t>
  </si>
  <si>
    <t>Spokane County</t>
  </si>
  <si>
    <t>Snohomish County</t>
  </si>
  <si>
    <t>Skamania County</t>
  </si>
  <si>
    <t>Skagit County</t>
  </si>
  <si>
    <t>San Juan County</t>
  </si>
  <si>
    <t>Pierce County</t>
  </si>
  <si>
    <t>Pend Oreille County</t>
  </si>
  <si>
    <t>Pacific County</t>
  </si>
  <si>
    <t>Okanogan County</t>
  </si>
  <si>
    <t>Mason County</t>
  </si>
  <si>
    <t>Lincoln County</t>
  </si>
  <si>
    <t>Lewis County</t>
  </si>
  <si>
    <t>Klickitat County</t>
  </si>
  <si>
    <t>Kittitas County</t>
  </si>
  <si>
    <t>Kitsap County</t>
  </si>
  <si>
    <t>King County</t>
  </si>
  <si>
    <t>Jefferson County</t>
  </si>
  <si>
    <t>Island County</t>
  </si>
  <si>
    <t>Grays Harbor County</t>
  </si>
  <si>
    <t>Grant County</t>
  </si>
  <si>
    <t>Garfield County</t>
  </si>
  <si>
    <t>Franklin County</t>
  </si>
  <si>
    <t>Ferry County</t>
  </si>
  <si>
    <t>Douglas County</t>
  </si>
  <si>
    <t>Cowlitz County</t>
  </si>
  <si>
    <t>Columbia County</t>
  </si>
  <si>
    <t>Clark County</t>
  </si>
  <si>
    <t>Clallam County</t>
  </si>
  <si>
    <t>Chelan County</t>
  </si>
  <si>
    <t>Benton County</t>
  </si>
  <si>
    <t>Asotin County</t>
  </si>
  <si>
    <t>Adams County</t>
  </si>
  <si>
    <t>CTYNAME</t>
  </si>
  <si>
    <t>HS Or More</t>
  </si>
  <si>
    <t>Area Name</t>
  </si>
  <si>
    <t>Area Number</t>
  </si>
  <si>
    <t>Area#</t>
  </si>
  <si>
    <t>Sum of NewWages</t>
  </si>
  <si>
    <t>Sum of OldWages</t>
  </si>
  <si>
    <t>Sum of AvgOfDuration</t>
  </si>
  <si>
    <t>Average Placement Wage</t>
  </si>
  <si>
    <t>Most Growth in Employment</t>
  </si>
  <si>
    <t>Least Growth in Employment</t>
  </si>
  <si>
    <t>Job Search Assistance</t>
  </si>
  <si>
    <t>Definitions to the right, click here to see TEGL 17-05 for more details.</t>
  </si>
  <si>
    <t>Additonal Area Profile Data</t>
  </si>
  <si>
    <t>Additonal State Profile Data</t>
  </si>
  <si>
    <t>Currrent Qtr</t>
  </si>
  <si>
    <t>Current Qtr</t>
  </si>
  <si>
    <t xml:space="preserve">Unduplicated count of the staff-assisted seekers who received any service classified as "Assessment*" - </t>
  </si>
  <si>
    <t xml:space="preserve">Unduplicated count of the staff-assisted seekers who received any service classified as "Job Search &amp; Placement*" </t>
  </si>
  <si>
    <t xml:space="preserve">Unduplicated count of the staff-assisted seekers who received any service classified as "Referral to Community Services*" - </t>
  </si>
  <si>
    <t xml:space="preserve">Unduplicated count of the staff assisted seekers who received any service classified as "Skill Development*" - </t>
  </si>
  <si>
    <t>New Customers (staff assisted seekers)</t>
  </si>
  <si>
    <t xml:space="preserve">For all the staff-assisted customers during the quarter, the number of unduplicated days they were served </t>
  </si>
  <si>
    <t>Numbers are reported for the time period that coincides with the 4 quarters that common measures uses to capture Entered Employment Exiters for this quarter's report. These quarterly numbers are based upon an average of each quarter's monthly totals</t>
  </si>
  <si>
    <t>Most Growth in Employment: (click for source)</t>
  </si>
  <si>
    <t>Least Growth in Employment: (click for source)</t>
  </si>
  <si>
    <t>County Totals</t>
  </si>
  <si>
    <t>Employment</t>
  </si>
  <si>
    <t>County</t>
  </si>
  <si>
    <t>Average</t>
  </si>
  <si>
    <t>Multiple County</t>
  </si>
  <si>
    <t>Area's Hourly Wage</t>
  </si>
  <si>
    <t>State Wagner-Peyser</t>
  </si>
  <si>
    <t>Chart Data Tables</t>
  </si>
  <si>
    <t>Sum of all</t>
  </si>
  <si>
    <t>Sum of self</t>
  </si>
  <si>
    <t>Sum of staffassist</t>
  </si>
  <si>
    <t>Sum of core</t>
  </si>
  <si>
    <t>Sum of coreint</t>
  </si>
  <si>
    <t>Sum of newtraining</t>
  </si>
  <si>
    <t>Sum of ongoing</t>
  </si>
  <si>
    <t>Sum of complete</t>
  </si>
  <si>
    <t>% of Population +25  w/ High School/GED</t>
  </si>
  <si>
    <t>Total Area Employment</t>
  </si>
  <si>
    <t>State Labor Force</t>
  </si>
  <si>
    <t>Most Growth in Labor Force</t>
  </si>
  <si>
    <t>Least Growth in Labor Force</t>
  </si>
  <si>
    <t>Average 6 Month Wages</t>
  </si>
  <si>
    <t>Hourly</t>
  </si>
  <si>
    <t>weekly</t>
  </si>
  <si>
    <t>Monthly Wages</t>
  </si>
  <si>
    <t>Q3</t>
  </si>
  <si>
    <t>Total Wages Paid</t>
  </si>
  <si>
    <t>Total Area Wages</t>
  </si>
  <si>
    <t>Average Annual wages</t>
  </si>
  <si>
    <t>Area Employed</t>
  </si>
  <si>
    <t>Area Wagner-Peyser</t>
  </si>
  <si>
    <t>PY08 Q3</t>
  </si>
  <si>
    <t>PY08 Q4</t>
  </si>
  <si>
    <t>PY09 Q1</t>
  </si>
  <si>
    <t>PY09 Q2</t>
  </si>
  <si>
    <t>PY09 Q3</t>
  </si>
  <si>
    <t>PY09 Q4</t>
  </si>
  <si>
    <t>PY10 Q1</t>
  </si>
  <si>
    <t>PY10 Q2</t>
  </si>
  <si>
    <t>PY10 Q3</t>
  </si>
  <si>
    <t>PY10 Q4</t>
  </si>
  <si>
    <t>PY11 Q1</t>
  </si>
  <si>
    <t>PY11 Q2</t>
  </si>
  <si>
    <t>PY11 Q3</t>
  </si>
  <si>
    <t>PY11 Q4</t>
  </si>
  <si>
    <t>PY12 Q1</t>
  </si>
  <si>
    <t>PY12 Q2</t>
  </si>
  <si>
    <t>PY12 Q3</t>
  </si>
  <si>
    <t>PY12 Q4</t>
  </si>
  <si>
    <t>PY13 Q1</t>
  </si>
  <si>
    <t>PY13 Q2</t>
  </si>
  <si>
    <t>PY13 Q3</t>
  </si>
  <si>
    <t>Area's Average 6 Month Wage</t>
  </si>
  <si>
    <t>Sum of current</t>
  </si>
  <si>
    <t>Sum of Lastyear</t>
  </si>
  <si>
    <t>Sum of Lastyearsalary</t>
  </si>
  <si>
    <t>Estimated Hourly Average Wage:</t>
  </si>
  <si>
    <t>Based upon High School students, data from OSPI, "cohort drop out rate"</t>
  </si>
  <si>
    <t>Unduplicated count of seekers who had at least one day of enrollment in any program during the quarter, and had a service associated with that program open during the quarter. (open meaning the service was begun prior to the end of the quarter)</t>
  </si>
  <si>
    <t>Unduplicated count of all seekers who exited any WIA program during the quarter</t>
  </si>
  <si>
    <t>Of the total population over the age of 25, % with a High School Diploma (or equivalent) or higher</t>
  </si>
  <si>
    <t>H.S. Cohort Drop Out Rate</t>
  </si>
  <si>
    <t xml:space="preserve">HS Cohort Drop Out Rate </t>
  </si>
  <si>
    <t>HS Cohort Drop Out Rate</t>
  </si>
  <si>
    <t>Management Indicators Bar Chart (see below for a list of services)</t>
  </si>
  <si>
    <t>Management Indicators List</t>
  </si>
  <si>
    <t>ASSESSMENT</t>
  </si>
  <si>
    <t>JOB SEARCH &amp; PLACEMENT</t>
  </si>
  <si>
    <t>REFERRAL TO COMMUNITY SERVICES</t>
  </si>
  <si>
    <t>SKILL DEVELOPMENT</t>
  </si>
  <si>
    <t>BASIC READJUSTMENT SERVICE</t>
  </si>
  <si>
    <t>BONDING ASSISTANCE</t>
  </si>
  <si>
    <t>CAREER/VOCATIONAL PLANNING</t>
  </si>
  <si>
    <t>EMPLOYMENT REFERRAL</t>
  </si>
  <si>
    <t>JOB CLUB</t>
  </si>
  <si>
    <t>JOB DEVELOPMENT</t>
  </si>
  <si>
    <t>Job Referrals</t>
  </si>
  <si>
    <t>JOB SEARCH AND PLACEMENT ASSISTANCE</t>
  </si>
  <si>
    <t>JOB SEARCH PLANNING</t>
  </si>
  <si>
    <t>JOB SEARCH REVIEW PROGRAM SERVICES</t>
  </si>
  <si>
    <t>KEYTRAIN FOLLOW UP</t>
  </si>
  <si>
    <t>MODULE 1 ORIENTATION TO WORKSOURCE SERVICES</t>
  </si>
  <si>
    <t>MODULE 2 SKILLS AND ABILITIES ANALYSIS</t>
  </si>
  <si>
    <t>MODULE 3 JOB SEARCH STRATEGIES</t>
  </si>
  <si>
    <t>MODULE 4 PERFECTING APPLICATIONS</t>
  </si>
  <si>
    <t>MODULE 5 EFFECTIVE RESUMES AND COVER LETTER</t>
  </si>
  <si>
    <t>MODULE 6 INTERVIEWING TECHNIQUES</t>
  </si>
  <si>
    <t>OUT-OF-AREA JOB SEARCH</t>
  </si>
  <si>
    <t>PROVIDED LABOR MARKET INFORMATION</t>
  </si>
  <si>
    <t>RAPID RESPONSE SERVICES</t>
  </si>
  <si>
    <t>Reemployment Services Summary</t>
  </si>
  <si>
    <t>REFERRAL TO FEDERAL JOB OPENING NOT IN SKIES</t>
  </si>
  <si>
    <t>REFERRAL TO H-2A PROGRAM JOB OPENING</t>
  </si>
  <si>
    <t>REFERRAL TO INTERSTATE JOB OPENING</t>
  </si>
  <si>
    <t>REFERRAL TO INTRASTATE JOB OPENING</t>
  </si>
  <si>
    <t>RESUME ASSISTANCE</t>
  </si>
  <si>
    <t>SERVICE ORIENTATION</t>
  </si>
  <si>
    <t>Staff assisted job matching</t>
  </si>
  <si>
    <t>TAP WORKSHOP</t>
  </si>
  <si>
    <t>VOCATIONAL / EMPLOYMENT GUIDANCE SERVICES</t>
  </si>
  <si>
    <t>WOTC CERTIFICATION SERVICES</t>
  </si>
  <si>
    <t>DEVELOPMENT OF INDIVIDUAL EMPLOYMENT PLANS</t>
  </si>
  <si>
    <t>EVALUATION TO IDENTIFY BARRIERS TO EMPLOYMENT</t>
  </si>
  <si>
    <t>Initial assessment</t>
  </si>
  <si>
    <t>KEYTRAIN QUICK GUIDE</t>
  </si>
  <si>
    <t>NEEDS ASSESSMENT</t>
  </si>
  <si>
    <t>SPECIALIZED ASSESSMENT</t>
  </si>
  <si>
    <t>BASIC SKILLS</t>
  </si>
  <si>
    <t>KEYTRAIN SKILL BUILDING</t>
  </si>
  <si>
    <t>SHORT-TERM PRE-EMPLOYMENT / VOCATIONAL SERVICES</t>
  </si>
  <si>
    <t>WORK / INTERNSHIP EXPERIENCE</t>
  </si>
  <si>
    <t>Referral to other services</t>
  </si>
  <si>
    <t>REFERRAL TO WIA 167 PROGRAM</t>
  </si>
  <si>
    <t>REFERRED TO SUPPORTIVE OR INTENSIVE SERVICES</t>
  </si>
  <si>
    <t>YOUTH ADDITIONAL SUPPORT FOR YOUTH SERVICES</t>
  </si>
  <si>
    <t>YOUTH COMMUNITY SERVICE</t>
  </si>
  <si>
    <t>YOUTH LEADERSHIP DEVELOPMENT  OPPORTUNITIES</t>
  </si>
  <si>
    <t>TRAINING SERVICES</t>
  </si>
  <si>
    <t>ADULT EDUCATION &amp; LITERACY WITH TRAINING</t>
  </si>
  <si>
    <t>APPRENTICESHIP TRAINING</t>
  </si>
  <si>
    <t>AUTOMATED OFFICE SKILLS</t>
  </si>
  <si>
    <t>CUSTOMIZED TRAINING</t>
  </si>
  <si>
    <t>EDUCATIONAL ACHIEVEMENT SERVICES (YOUTH ONLY)</t>
  </si>
  <si>
    <t>EMPLOYMENT SERVICES (YOUTH ONLY)</t>
  </si>
  <si>
    <t>ENGLISH AS A SECONDARY LANGUAGE</t>
  </si>
  <si>
    <t>ENTREPRENEURIAL TRAINING</t>
  </si>
  <si>
    <t>HOLD - GAP IN SERVICE</t>
  </si>
  <si>
    <t>OCCUPATIONAL SKILLS TRAINING</t>
  </si>
  <si>
    <t>OJT PAID BY OTHER</t>
  </si>
  <si>
    <t>ON-THE-JOB TRAINING</t>
  </si>
  <si>
    <t>PAID WORK EXPERIENCE (YOUTH ONLY)</t>
  </si>
  <si>
    <t>PRE-EMPLOYMENT SKILLS TRAINING</t>
  </si>
  <si>
    <t>PRE-REQUISITE TRAINING (TAA ONLY)</t>
  </si>
  <si>
    <t>PURSUING GED/DIPLOMA/CERTIFICATE (YOUTH ONLY)</t>
  </si>
  <si>
    <t>SHORT-TERM CLASSROOM TRAINING</t>
  </si>
  <si>
    <t>SKILLS UPGRADING AND RETRAINING</t>
  </si>
  <si>
    <t>SUMMER YOUTH EMPLOYMENT OPPORTUNITIES (YOUTH ONLY)</t>
  </si>
  <si>
    <t>TAA APPROVED TRAINING</t>
  </si>
  <si>
    <t>TAA SUBSISTENCE</t>
  </si>
  <si>
    <t>TAA TRANSPORTATION</t>
  </si>
  <si>
    <t>TRAINING PAID BY OTHER</t>
  </si>
  <si>
    <t>UNPAID WORK EXPERIENCE (YOUTH ONLY)</t>
  </si>
  <si>
    <t>YOUTH DROPOUT PREVENTION STRATGIES</t>
  </si>
  <si>
    <t>YOUTH JOB SHADOWING</t>
  </si>
  <si>
    <t>YOUTH SKILL GOAL- BASIC SKILLS</t>
  </si>
  <si>
    <t>YOUTH SKILL GOAL- OCCUPATIONAL</t>
  </si>
  <si>
    <t>YOUTH SKILL GOAL- WORK READINESS</t>
  </si>
  <si>
    <t>YOUTH SUMMER WORK EXPERIENCE</t>
  </si>
  <si>
    <t>Sum of CurrentSalary</t>
  </si>
  <si>
    <t>Wagner-Peyser Statewide Historical Measures and Targets</t>
  </si>
  <si>
    <t>EE Target</t>
  </si>
  <si>
    <t>Earnings Target</t>
  </si>
  <si>
    <t>2007 Q1</t>
  </si>
  <si>
    <t>2007 Q2</t>
  </si>
  <si>
    <t>2007 Q3</t>
  </si>
  <si>
    <t>2007 Q4</t>
  </si>
  <si>
    <t>2008 Q1</t>
  </si>
  <si>
    <t>2008 Q2</t>
  </si>
  <si>
    <t>2008 Q3</t>
  </si>
  <si>
    <t>2008 Q4</t>
  </si>
  <si>
    <t>2009 Q1</t>
  </si>
  <si>
    <t>2009 Q2</t>
  </si>
  <si>
    <t>2009 Q3</t>
  </si>
  <si>
    <t>2009 Q4</t>
  </si>
  <si>
    <t>2010 Q1</t>
  </si>
  <si>
    <t>2010 Q2</t>
  </si>
  <si>
    <t>2010 Q3</t>
  </si>
  <si>
    <t>2010 Q4</t>
  </si>
  <si>
    <t>2011 Q1</t>
  </si>
  <si>
    <t>2011 Q2</t>
  </si>
  <si>
    <t>2011 Q3</t>
  </si>
  <si>
    <t>PY QTR</t>
  </si>
  <si>
    <t>2006 Q3</t>
  </si>
  <si>
    <t>2006 Q4</t>
  </si>
  <si>
    <t xml:space="preserve">Retention </t>
  </si>
  <si>
    <t>Entered Employment Over Time</t>
  </si>
  <si>
    <t>PY10Q1</t>
  </si>
  <si>
    <t>PY10Q2</t>
  </si>
  <si>
    <t>PY10Q4</t>
  </si>
  <si>
    <t>PY10Q3</t>
  </si>
  <si>
    <t>PY11Q1</t>
  </si>
  <si>
    <t>PY11Q2</t>
  </si>
  <si>
    <t>PY11Q4</t>
  </si>
  <si>
    <t>PY11Q3</t>
  </si>
  <si>
    <t>Employment Retention Over Time</t>
  </si>
  <si>
    <t>2011 Q4</t>
  </si>
  <si>
    <t>2012 Q1</t>
  </si>
  <si>
    <t>2012 Q2</t>
  </si>
  <si>
    <t>2012 Q3</t>
  </si>
  <si>
    <t>2012 Q4</t>
  </si>
  <si>
    <t>Average Earnings Over Time</t>
  </si>
  <si>
    <t>Common Measures by Area, Over time</t>
  </si>
  <si>
    <t>% of Job Openings in Top 5 Industries</t>
  </si>
  <si>
    <t>Unduplicated count of all seekers receiving a staff assisted state service during the quarter (local services are not counted in the dashboard or Federal reports)</t>
  </si>
  <si>
    <t>MICROSOFT E-LEARNING 2010-2012</t>
  </si>
  <si>
    <t>NAICS</t>
  </si>
  <si>
    <t>2012 NAICS Code</t>
  </si>
  <si>
    <t>2012 NAICS Title</t>
  </si>
  <si>
    <r>
      <t>Utilities</t>
    </r>
    <r>
      <rPr>
        <b/>
        <sz val="12"/>
        <color indexed="8"/>
        <rFont val="Arial"/>
        <family val="2"/>
      </rPr>
      <t xml:space="preserve"> </t>
    </r>
  </si>
  <si>
    <t xml:space="preserve">Merchant Wholesalers, Durable Goods </t>
  </si>
  <si>
    <t xml:space="preserve">Merchant Wholesalers, Nondurable Goods </t>
  </si>
  <si>
    <t xml:space="preserve">Wholesale Electronic Markets and Agents and Brokers </t>
  </si>
  <si>
    <t xml:space="preserve">Motor Vehicle and Parts Dealers </t>
  </si>
  <si>
    <t xml:space="preserve">Furniture and Home Furnishings Stores </t>
  </si>
  <si>
    <t xml:space="preserve">Electronics and Appliance Stores </t>
  </si>
  <si>
    <t xml:space="preserve">Building Material and Garden Equipment and Supplies Dealers </t>
  </si>
  <si>
    <t xml:space="preserve">Food and Beverage Stores </t>
  </si>
  <si>
    <t xml:space="preserve">Health and Personal Care Stores </t>
  </si>
  <si>
    <t xml:space="preserve">Gasoline Stations </t>
  </si>
  <si>
    <t xml:space="preserve">Clothing and Clothing Accessories Stores </t>
  </si>
  <si>
    <t xml:space="preserve">Sporting Goods, Hobby, Musical Instrument, and Book Stores </t>
  </si>
  <si>
    <t xml:space="preserve">General Merchandise Stores </t>
  </si>
  <si>
    <t xml:space="preserve">Miscellaneous Store Retailers </t>
  </si>
  <si>
    <t xml:space="preserve">Nonstore Retailers </t>
  </si>
  <si>
    <t xml:space="preserve">Executive, Legislative, and Other General Government Support </t>
  </si>
  <si>
    <t xml:space="preserve">Justice, Public Order, and Safety Activities </t>
  </si>
  <si>
    <t xml:space="preserve">Administration of Human Resource Programs </t>
  </si>
  <si>
    <t xml:space="preserve">Administration of Environmental Quality Programs </t>
  </si>
  <si>
    <t xml:space="preserve">Administration of Housing Programs, Urban Planning, and Community Development </t>
  </si>
  <si>
    <t xml:space="preserve">Administration of Economic Programs </t>
  </si>
  <si>
    <t xml:space="preserve">National Security and International Affairs </t>
  </si>
  <si>
    <t xml:space="preserve">Crop Production </t>
  </si>
  <si>
    <t xml:space="preserve">Animal Production and Aquaculture </t>
  </si>
  <si>
    <t xml:space="preserve">Forestry and Logging </t>
  </si>
  <si>
    <t xml:space="preserve">Support Activities for Agriculture and Forestry </t>
  </si>
  <si>
    <t xml:space="preserve">Oil and Gas Extraction </t>
  </si>
  <si>
    <t xml:space="preserve">Mining (except Oil and Gas) </t>
  </si>
  <si>
    <t xml:space="preserve">Support Activities for Mining </t>
  </si>
  <si>
    <t xml:space="preserve">Construction of Buildings </t>
  </si>
  <si>
    <t xml:space="preserve">Heavy and Civil Engineering Construction </t>
  </si>
  <si>
    <t xml:space="preserve">Food Manufacturing </t>
  </si>
  <si>
    <t xml:space="preserve">Apparel Manufacturing </t>
  </si>
  <si>
    <t xml:space="preserve">Leather and Allied Product Manufacturing </t>
  </si>
  <si>
    <t xml:space="preserve">Wood Product Manufacturing </t>
  </si>
  <si>
    <t xml:space="preserve">Paper Manufacturing </t>
  </si>
  <si>
    <t xml:space="preserve">Printing and Related Support Activities </t>
  </si>
  <si>
    <t xml:space="preserve">Petroleum and Coal Products Manufacturing </t>
  </si>
  <si>
    <t xml:space="preserve">Chemical Manufacturing </t>
  </si>
  <si>
    <t xml:space="preserve">Plastics and Rubber Products Manufacturing </t>
  </si>
  <si>
    <t xml:space="preserve">Nonmetallic Mineral Product Manufacturing </t>
  </si>
  <si>
    <t xml:space="preserve">Primary Metal Manufacturing </t>
  </si>
  <si>
    <t xml:space="preserve">Fabricated Metal Product Manufacturing </t>
  </si>
  <si>
    <t xml:space="preserve">Machinery Manufacturing </t>
  </si>
  <si>
    <t xml:space="preserve">Computer and Electronic Product Manufacturing </t>
  </si>
  <si>
    <t xml:space="preserve">Electrical Equipment, Appliance, and Component Manufacturing </t>
  </si>
  <si>
    <t xml:space="preserve">Furniture and Related Product Manufacturing </t>
  </si>
  <si>
    <t xml:space="preserve">Miscellaneous Manufacturing </t>
  </si>
  <si>
    <t xml:space="preserve">Postal Service </t>
  </si>
  <si>
    <t xml:space="preserve">Couriers and Messengers </t>
  </si>
  <si>
    <t xml:space="preserve">Warehousing and Storage </t>
  </si>
  <si>
    <t xml:space="preserve">Publishing Industries (except Internet) </t>
  </si>
  <si>
    <t xml:space="preserve">Motion Picture and Sound Recording Industries </t>
  </si>
  <si>
    <t xml:space="preserve">Broadcasting (except Internet) </t>
  </si>
  <si>
    <t xml:space="preserve">Data Processing, Hosting, and Related Services </t>
  </si>
  <si>
    <t xml:space="preserve">Other Information Services </t>
  </si>
  <si>
    <t xml:space="preserve">Monetary Authorities-Central Bank </t>
  </si>
  <si>
    <t xml:space="preserve">Credit Intermediation and Related Activities </t>
  </si>
  <si>
    <t xml:space="preserve">Securities, Commodity Contracts, and Other Financial Investments and Related Activities </t>
  </si>
  <si>
    <t xml:space="preserve">Insurance Carriers and Related Activities </t>
  </si>
  <si>
    <t xml:space="preserve">Real Estate </t>
  </si>
  <si>
    <t xml:space="preserve">Rental and Leasing Services </t>
  </si>
  <si>
    <t xml:space="preserve">Lessors of Nonfinancial Intangible Assets (except Copyrighted Works) </t>
  </si>
  <si>
    <t xml:space="preserve">Management of Companies and Enterprises </t>
  </si>
  <si>
    <t xml:space="preserve">Administrative and Support Services </t>
  </si>
  <si>
    <t xml:space="preserve">Waste Management and Remediation Services </t>
  </si>
  <si>
    <t xml:space="preserve">Educational Services </t>
  </si>
  <si>
    <t xml:space="preserve">Ambulatory Health Care Services </t>
  </si>
  <si>
    <t xml:space="preserve">Hospitals </t>
  </si>
  <si>
    <t xml:space="preserve">Nursing and Residential Care Facilities </t>
  </si>
  <si>
    <t xml:space="preserve">Social Assistance </t>
  </si>
  <si>
    <t xml:space="preserve">Performing Arts, Spectator Sports, and Related Industries </t>
  </si>
  <si>
    <t xml:space="preserve">Museums, Historical Sites, and Similar Institutions </t>
  </si>
  <si>
    <t xml:space="preserve">Amusement, Gambling, and Recreation Industries </t>
  </si>
  <si>
    <t xml:space="preserve">Accommodation </t>
  </si>
  <si>
    <t xml:space="preserve">Food Services and Drinking Places </t>
  </si>
  <si>
    <t xml:space="preserve">Repair and Maintenance </t>
  </si>
  <si>
    <t>Personal and Laundry Services</t>
  </si>
  <si>
    <t>Religious, Grantmaking, Civic, Professional, and Similar Organizations</t>
  </si>
  <si>
    <t xml:space="preserve">Private Households </t>
  </si>
  <si>
    <t xml:space="preserve">Telecommunications </t>
  </si>
  <si>
    <t xml:space="preserve">Support Activities for Transportation </t>
  </si>
  <si>
    <t xml:space="preserve">Pipeline Transportation </t>
  </si>
  <si>
    <t xml:space="preserve">Transportation Equipment Manufacturing </t>
  </si>
  <si>
    <t xml:space="preserve">Air Transportation </t>
  </si>
  <si>
    <t xml:space="preserve">Rail Transportation </t>
  </si>
  <si>
    <t xml:space="preserve">Water Transportation </t>
  </si>
  <si>
    <t xml:space="preserve">Truck Transportation </t>
  </si>
  <si>
    <t xml:space="preserve">Transit and Ground Passenger Transportation </t>
  </si>
  <si>
    <t xml:space="preserve">Scenic and Sightseeing Transportation </t>
  </si>
  <si>
    <t xml:space="preserve">Textile Product Mills </t>
  </si>
  <si>
    <t xml:space="preserve">Textile Mills </t>
  </si>
  <si>
    <t xml:space="preserve">Beverage and Tobacco Product Manufacturing </t>
  </si>
  <si>
    <t xml:space="preserve">Specialty Trade Contractors </t>
  </si>
  <si>
    <t xml:space="preserve">Fishing, Hunting and Trapping </t>
  </si>
  <si>
    <t xml:space="preserve">Funds, Trusts, and Other Financial Vehicles </t>
  </si>
  <si>
    <t xml:space="preserve">Professional, Scientific, and Technical Services </t>
  </si>
  <si>
    <t xml:space="preserve">Space Research and Technology </t>
  </si>
  <si>
    <t>All Job Orders (WA, WS)</t>
  </si>
  <si>
    <t>Sum of the latest two quarters of wage data, from BLS's Quarterly Census of Employment and Wages(QCEW) , This is a 6 month look to align with Common Measures Average Earnings measure.</t>
  </si>
  <si>
    <t>State's Average 6 Month Wage</t>
  </si>
  <si>
    <t>Job Orders in top 5 Industries</t>
  </si>
  <si>
    <t>% of Job Orders in Top 5 Industries</t>
  </si>
  <si>
    <t>Entered Employment Rate (Wagner-Peyser)</t>
  </si>
  <si>
    <t>Sum of CurrentJOs</t>
  </si>
  <si>
    <t>Sum of LastYears</t>
  </si>
  <si>
    <t>Of the program exiters during the quarter, (who also had an service plan service that ended during the quarter or 1 month before)what was theiraverage duration.</t>
  </si>
  <si>
    <t>UI Claimants Served</t>
  </si>
  <si>
    <t>Veterans Served</t>
  </si>
  <si>
    <t>WorkFirst Served</t>
  </si>
  <si>
    <t>JAN-MAR 2012</t>
  </si>
  <si>
    <t>APR-JUN 2012</t>
  </si>
  <si>
    <t>JUL-SEP 2012</t>
  </si>
  <si>
    <t>OCT-DEC 2012</t>
  </si>
  <si>
    <t>Average WA Job Order Wage</t>
  </si>
  <si>
    <t>Average  WA Job Order Wage</t>
  </si>
  <si>
    <t>Top Five Industries</t>
  </si>
  <si>
    <t>Wages by County, Area, and State</t>
  </si>
  <si>
    <t>Sum of UI</t>
  </si>
  <si>
    <t>Sum of Vets</t>
  </si>
  <si>
    <t>Sum of WF</t>
  </si>
  <si>
    <t>Sum of MgtIndCountJobSearch_SEEKERID</t>
  </si>
  <si>
    <t>Sum of MgtIndCountSkillsDev_SEEKERID</t>
  </si>
  <si>
    <t>Sum of MgtIndCountCommSvcs_SEEKERID</t>
  </si>
  <si>
    <t>Sum of MgtIndCountAssessment_SEEKERID</t>
  </si>
  <si>
    <t>Program Chart</t>
  </si>
  <si>
    <t>Employer Services Chart</t>
  </si>
  <si>
    <t>Sum of 3CountOfEmployersServed_EMPLOYER_ID</t>
  </si>
  <si>
    <t>Sum of 3CountOfEmployersServed1YearAgo_EMPLOYER_ID</t>
  </si>
  <si>
    <t>Sum of 3CountOfWAJobOrders1YearAgo_JOB_ORDER_ID</t>
  </si>
  <si>
    <t>Sum of 3CountOfWAJobOrders1YearAgo_SumOfJOB OPENINGS</t>
  </si>
  <si>
    <t>Sum of 3CountWAJobOrders_JOB_ORDER_ID</t>
  </si>
  <si>
    <t>Sum of 3CountWAJobOrders_SumOfJOB OPENINGS</t>
  </si>
  <si>
    <t>Sum of alljos</t>
  </si>
  <si>
    <t>Sum of previousjos</t>
  </si>
  <si>
    <t>Job Orders Chart</t>
  </si>
  <si>
    <t>Sum of NAICSCurrent</t>
  </si>
  <si>
    <t>Sum of NAICSPREVIOUS</t>
  </si>
  <si>
    <t>Sum of CountNew</t>
  </si>
  <si>
    <t>Sum of SERVICEDATE</t>
  </si>
  <si>
    <t>Customer Flow Chart</t>
  </si>
  <si>
    <t>Management Indicators Chart</t>
  </si>
  <si>
    <t>Program Participants Chart</t>
  </si>
  <si>
    <t>Sum of JOB_ORDER_ID</t>
  </si>
  <si>
    <t>Sum of JOB_ORDER_IDLastYear</t>
  </si>
  <si>
    <t>Retention Target</t>
  </si>
  <si>
    <t>% of +25 Population with H/S</t>
  </si>
  <si>
    <t>% of +25 Population with College</t>
  </si>
  <si>
    <t>Staff &amp; Self are a % of all</t>
  </si>
  <si>
    <t>Staff &amp; Self are a % of All</t>
  </si>
  <si>
    <t>% Of Staff-Assisted Customers</t>
  </si>
  <si>
    <t>Based upon the QCEW, from the lastest revised quarter during, Area's weekly wage divided by 40 hours.</t>
  </si>
  <si>
    <t># of Staff Assisted Claimants who were receiving UI Benefits during the quarter. (% is the share of Staff-assisted customers)</t>
  </si>
  <si>
    <t># of Staff Assisted Veterans during the quarter. (% is the share of Staff-assisted customers)</t>
  </si>
  <si>
    <t># of Staff Assisted customers who were enrolled in WorkFirst during the quarter. (% is the share of Staff-assisted customers)</t>
  </si>
  <si>
    <r>
      <t xml:space="preserve">The non-seasonally adjusted unemployment rate is calculated by taking the average of the quarter's monthly </t>
    </r>
    <r>
      <rPr>
        <i/>
        <sz val="14"/>
        <rFont val="Calibri"/>
        <family val="2"/>
        <scheme val="minor"/>
      </rPr>
      <t>revised</t>
    </r>
    <r>
      <rPr>
        <sz val="14"/>
        <rFont val="Calibri"/>
        <family val="2"/>
        <scheme val="minor"/>
      </rPr>
      <t xml:space="preserve"> (not preliminary) unemployed counts and dividing it by the average of the quarter's monthly labor force counts.</t>
    </r>
  </si>
  <si>
    <r>
      <rPr>
        <b/>
        <sz val="14"/>
        <rFont val="Calibri"/>
        <family val="2"/>
        <scheme val="minor"/>
      </rPr>
      <t>New:</t>
    </r>
    <r>
      <rPr>
        <sz val="14"/>
        <rFont val="Calibri"/>
        <family val="2"/>
        <scheme val="minor"/>
      </rPr>
      <t xml:space="preserve"> all seekers beginning a training service during the quarter (See training services below to see what is included)                                                        </t>
    </r>
    <r>
      <rPr>
        <b/>
        <sz val="14"/>
        <rFont val="Calibri"/>
        <family val="2"/>
        <scheme val="minor"/>
      </rPr>
      <t>Ongoing:</t>
    </r>
    <r>
      <rPr>
        <sz val="14"/>
        <rFont val="Calibri"/>
        <family val="2"/>
        <scheme val="minor"/>
      </rPr>
      <t xml:space="preserve"> Unduplicated count of all seekers receiving a training service anytime during the quarter                                                                                                                                    </t>
    </r>
    <r>
      <rPr>
        <b/>
        <sz val="14"/>
        <rFont val="Calibri"/>
        <family val="2"/>
        <scheme val="minor"/>
      </rPr>
      <t xml:space="preserve">Complete: </t>
    </r>
    <r>
      <rPr>
        <sz val="14"/>
        <rFont val="Calibri"/>
        <family val="2"/>
        <scheme val="minor"/>
      </rPr>
      <t>All participants completing a training service during the quarter</t>
    </r>
  </si>
  <si>
    <t>WA Job Order Fill Rate</t>
  </si>
  <si>
    <t>Average wage of all placements made from a WA job order</t>
  </si>
  <si>
    <t>All WA Job Order Placements</t>
  </si>
  <si>
    <t>WA Job Order Placements</t>
  </si>
  <si>
    <t>All Job Orders in top 5 Industries</t>
  </si>
  <si>
    <t>Average WA Job Order Placement Wage</t>
  </si>
  <si>
    <t>the sum of hourly wages of the last jobs held by job seekers who were placed during the quarter, who had an employment history that included an end date and an ending salary</t>
  </si>
  <si>
    <t>The sum of the Hourly Minimum Wage listed for the WA job orders where placements were made during the quarter</t>
  </si>
  <si>
    <t>Educational Attainment (from Scott Bailey; annual basis for large counties (2010 most recent), 5-yr average for smaller counties)</t>
  </si>
  <si>
    <t>Dropouts</t>
  </si>
  <si>
    <t>Adjusted Cohort</t>
  </si>
  <si>
    <t>Year 1</t>
  </si>
  <si>
    <t>Year 2</t>
  </si>
  <si>
    <t>Year 3</t>
  </si>
  <si>
    <t>Year 4</t>
  </si>
  <si>
    <t>Cohort dropout rate</t>
  </si>
  <si>
    <t>2010-II</t>
  </si>
  <si>
    <t>2010-III</t>
  </si>
  <si>
    <t>2010-IV</t>
  </si>
  <si>
    <t>2011-I</t>
  </si>
  <si>
    <t>2011-II</t>
  </si>
  <si>
    <t>2011-III</t>
  </si>
  <si>
    <t>2011-IV</t>
  </si>
  <si>
    <t>2012-I</t>
  </si>
  <si>
    <t>LABOR FORCE</t>
  </si>
  <si>
    <t>EMPLOYED</t>
  </si>
  <si>
    <t>UNEMPLOYED</t>
  </si>
  <si>
    <t>UNEMPLOYMENT RATE</t>
  </si>
  <si>
    <t>with H/S</t>
  </si>
  <si>
    <t>with College</t>
  </si>
  <si>
    <t>WDA</t>
  </si>
  <si>
    <t>NAICS1</t>
  </si>
  <si>
    <t>NAICS2</t>
  </si>
  <si>
    <t>NAICS3</t>
  </si>
  <si>
    <t>NAICS4</t>
  </si>
  <si>
    <t>NAICS5</t>
  </si>
  <si>
    <t>Least Growth Code</t>
  </si>
  <si>
    <t>Least Growth Name</t>
  </si>
  <si>
    <t>Transportation Equipment Manufacturing</t>
  </si>
  <si>
    <t>MostGrowth Code</t>
  </si>
  <si>
    <t>Most Growth Name</t>
  </si>
  <si>
    <t>Interim measure: Based upon the Quarterly Workforce Indicator Industry Focus "Hiring Growth" between the last quarter's data available compare to the quarter a year prior, by industry sector (3 digit NAICS), for each area- excluding Private Households and Food Service.</t>
  </si>
  <si>
    <t>Building Material&amp;Garden Equip&amp;Supplies Dealers</t>
  </si>
  <si>
    <t xml:space="preserve">A comparison between the  5 NAICS codes (by 3 digit) identified by WDCs versus the # of job orders (WA&amp;WS that have NAICS codes) opened during the quarter that match that 3 digit NAICS code. For the state, these are the top 10 NAICS codes as an aggregate of the Area's Top 5. </t>
  </si>
  <si>
    <t>Sum of GO2</t>
  </si>
  <si>
    <t>Sum of SSMS</t>
  </si>
  <si>
    <t>Dashboard : Quarterly Indicators</t>
  </si>
  <si>
    <t>Current</t>
  </si>
  <si>
    <t>Currrent</t>
  </si>
  <si>
    <t>Current Quarter Total</t>
  </si>
  <si>
    <t xml:space="preserve"> Adult Entered Employment Base</t>
  </si>
  <si>
    <t>DW Retention</t>
  </si>
  <si>
    <t>DW Retention Base</t>
  </si>
  <si>
    <t>DW Retention Rate</t>
  </si>
  <si>
    <t>DW Retention Target</t>
  </si>
  <si>
    <t>DW Earnings</t>
  </si>
  <si>
    <t>DW Earnings Base</t>
  </si>
  <si>
    <t>DW Average Earnings</t>
  </si>
  <si>
    <t>DW Average Earnings Target</t>
  </si>
  <si>
    <t>Youth Certification</t>
  </si>
  <si>
    <t>Youth Certification Base</t>
  </si>
  <si>
    <t>Youth Certification Rate</t>
  </si>
  <si>
    <t>Youth Lit/Num</t>
  </si>
  <si>
    <t>Youth Lit/Num Base</t>
  </si>
  <si>
    <t>Youth Lit/Num Rate</t>
  </si>
  <si>
    <t>Youth Lit/Num Target</t>
  </si>
  <si>
    <t>Youth Placement</t>
  </si>
  <si>
    <t>Youth Placement Base</t>
  </si>
  <si>
    <t>Youth Placement Rate</t>
  </si>
  <si>
    <t>Youth Placement Target</t>
  </si>
  <si>
    <t>Unduplicated count of all seekers logging into SSMS and/or Go2WorkSource during the quarter with no staff assisted services that same quarter</t>
  </si>
  <si>
    <t>WA Job Opening Average Wage</t>
  </si>
  <si>
    <t>Average wage of all WA job openings opened during the quarter that have a wage listed in SKIES (and that wage is above minimum wage and below $100 using the Minimum Salary field listed for the job)</t>
  </si>
  <si>
    <t>Q3 2011 Revised Quarterly Covered Employment by Industry (from Quarterly Census of Employment and Wages (QCEW), https://fortress.wa.gov/esd/employmentdata/reports-publications/industry-reports/quarterly-census-of-employment-and-wages)</t>
  </si>
  <si>
    <t>Drop Out Rates (from http://k12.wa.us/DataAdmin/default.aspx, 2010-2011 results, Appendix A: Statewide Adjusted Actual 4-Year Graduation and Dropout Results)</t>
  </si>
  <si>
    <t>Labor Force Data by WDA, Quarterly Average, Not Adjusted for Seasonality (Scott Bailey provides via e-mail)</t>
  </si>
  <si>
    <t>SSMS</t>
  </si>
  <si>
    <t>Of the self-served only cohort, how many logged into SSMS.  Because customers can log into either system and still remain self-served only, this count is duplicated with the GO2 count.</t>
  </si>
  <si>
    <t>GO2</t>
  </si>
  <si>
    <t>Of the self-served only cohort, how many logged into GO2.  Because customers can log into either system and still remain self-served only, this count is duplicated with the SSMS count.</t>
  </si>
  <si>
    <t>Go2</t>
  </si>
  <si>
    <t>Wagner-Peyser (from PivotTable of quarterly WagPey Vets Common Measures by Area spreadsheet)</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</si>
</sst>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44" formatCode="_(&quot;$&quot;* #,##0.00_);_(&quot;$&quot;* \(#,##0.00\);_(&quot;$&quot;* &quot;-&quot;??_);_(@_)"/>
    <numFmt numFmtId="43" formatCode="_(* #,##0.00_);_(* \(#,##0.00\);_(* &quot;-&quot;??_);_(@_)"/>
    <numFmt numFmtId="164" formatCode="0.0%"/>
    <numFmt numFmtId="165" formatCode="&quot;$&quot;#,##0"/>
    <numFmt numFmtId="166" formatCode="&quot;$&quot;#,##0.00"/>
    <numFmt numFmtId="167" formatCode="0.0"/>
    <numFmt numFmtId="168" formatCode="#,##0.0"/>
    <numFmt numFmtId="169" formatCode="General_)"/>
  </numFmts>
  <fonts count="91" x14ac:knownFonts="1">
    <font>
      <sz val="14"/>
      <color theme="1"/>
      <name val="Calibri"/>
      <family val="2"/>
      <scheme val="minor"/>
    </font>
    <font>
      <sz val="14"/>
      <color theme="1"/>
      <name val="Calibri"/>
      <family val="2"/>
      <scheme val="minor"/>
    </font>
    <font>
      <b/>
      <sz val="14"/>
      <color theme="0"/>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sz val="14"/>
      <name val="Calibri"/>
      <family val="2"/>
      <scheme val="minor"/>
    </font>
    <font>
      <b/>
      <sz val="16"/>
      <color theme="1"/>
      <name val="Calibri"/>
      <family val="2"/>
      <scheme val="minor"/>
    </font>
    <font>
      <b/>
      <sz val="18"/>
      <color theme="1"/>
      <name val="Calibri"/>
      <family val="2"/>
      <scheme val="minor"/>
    </font>
    <font>
      <b/>
      <sz val="13"/>
      <color theme="1"/>
      <name val="Calibri"/>
      <family val="2"/>
      <scheme val="minor"/>
    </font>
    <font>
      <sz val="13"/>
      <color theme="1"/>
      <name val="Calibri"/>
      <family val="2"/>
      <scheme val="minor"/>
    </font>
    <font>
      <sz val="10"/>
      <name val="Arial"/>
      <family val="2"/>
    </font>
    <font>
      <b/>
      <sz val="16"/>
      <name val="Calibri"/>
      <family val="2"/>
      <scheme val="minor"/>
    </font>
    <font>
      <b/>
      <sz val="12"/>
      <name val="Calibri"/>
      <family val="2"/>
      <scheme val="minor"/>
    </font>
    <font>
      <b/>
      <sz val="14"/>
      <name val="Calibri"/>
      <family val="2"/>
      <scheme val="minor"/>
    </font>
    <font>
      <b/>
      <sz val="13"/>
      <name val="Calibri"/>
      <family val="2"/>
      <scheme val="minor"/>
    </font>
    <font>
      <u/>
      <sz val="14"/>
      <color theme="10"/>
      <name val="Calibri"/>
      <family val="2"/>
    </font>
    <font>
      <b/>
      <sz val="20"/>
      <color theme="1"/>
      <name val="Calibri"/>
      <family val="2"/>
      <scheme val="minor"/>
    </font>
    <font>
      <sz val="24"/>
      <color theme="1"/>
      <name val="Calibri"/>
      <family val="2"/>
      <scheme val="minor"/>
    </font>
    <font>
      <b/>
      <sz val="18"/>
      <color theme="3"/>
      <name val="Cambria"/>
      <family val="2"/>
      <scheme val="major"/>
    </font>
    <font>
      <sz val="10"/>
      <name val="Arial"/>
      <family val="2"/>
    </font>
    <font>
      <sz val="13"/>
      <color rgb="FFFF0000"/>
      <name val="Calibri"/>
      <family val="2"/>
      <scheme val="minor"/>
    </font>
    <font>
      <sz val="14"/>
      <color rgb="FFFF0000"/>
      <name val="Calibri"/>
      <family val="2"/>
      <scheme val="minor"/>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b/>
      <sz val="22"/>
      <color theme="1"/>
      <name val="Calibri"/>
      <family val="2"/>
      <scheme val="minor"/>
    </font>
    <font>
      <sz val="13"/>
      <name val="Calibri"/>
      <family val="2"/>
      <scheme val="minor"/>
    </font>
    <font>
      <b/>
      <i/>
      <sz val="22"/>
      <color theme="1"/>
      <name val="Calibri"/>
      <family val="2"/>
      <scheme val="minor"/>
    </font>
    <font>
      <sz val="12"/>
      <name val="Calibri"/>
      <family val="2"/>
      <scheme val="minor"/>
    </font>
    <font>
      <sz val="18"/>
      <color theme="1"/>
      <name val="Calibri"/>
      <family val="2"/>
      <scheme val="minor"/>
    </font>
    <font>
      <b/>
      <sz val="12"/>
      <name val="Arial"/>
      <family val="2"/>
    </font>
    <font>
      <b/>
      <sz val="10"/>
      <name val="Arial"/>
      <family val="2"/>
    </font>
    <font>
      <sz val="11"/>
      <color theme="1"/>
      <name val="Calibri"/>
      <family val="2"/>
      <scheme val="minor"/>
    </font>
    <font>
      <sz val="10"/>
      <name val="Courier"/>
      <family val="3"/>
    </font>
    <font>
      <sz val="20"/>
      <color theme="1"/>
      <name val="Calibri"/>
      <family val="2"/>
      <scheme val="minor"/>
    </font>
    <font>
      <sz val="12"/>
      <color theme="1"/>
      <name val="Arial"/>
      <family val="2"/>
    </font>
    <font>
      <sz val="12"/>
      <color rgb="FF000000"/>
      <name val="Arial"/>
      <family val="2"/>
    </font>
    <font>
      <sz val="16"/>
      <color theme="1"/>
      <name val="Calibri"/>
      <family val="2"/>
      <scheme val="minor"/>
    </font>
    <font>
      <sz val="28"/>
      <color theme="1"/>
      <name val="Calibri"/>
      <family val="2"/>
      <scheme val="minor"/>
    </font>
    <font>
      <sz val="10"/>
      <color theme="1"/>
      <name val="Calibri"/>
      <family val="2"/>
      <scheme val="minor"/>
    </font>
    <font>
      <sz val="10"/>
      <name val="Calibri"/>
      <family val="2"/>
      <scheme val="minor"/>
    </font>
    <font>
      <b/>
      <sz val="10"/>
      <color theme="0"/>
      <name val="Calibri"/>
      <family val="2"/>
      <scheme val="minor"/>
    </font>
    <font>
      <b/>
      <sz val="10"/>
      <name val="Calibri"/>
      <family val="2"/>
      <scheme val="minor"/>
    </font>
    <font>
      <b/>
      <sz val="10"/>
      <color theme="1"/>
      <name val="Calibri"/>
      <family val="2"/>
      <scheme val="minor"/>
    </font>
    <font>
      <sz val="10"/>
      <color indexed="81"/>
      <name val="Calibri"/>
      <family val="2"/>
      <scheme val="minor"/>
    </font>
    <font>
      <b/>
      <sz val="14"/>
      <color indexed="81"/>
      <name val="Calibri"/>
      <family val="2"/>
      <scheme val="minor"/>
    </font>
    <font>
      <sz val="10"/>
      <name val="Arial"/>
      <family val="2"/>
    </font>
    <font>
      <sz val="10"/>
      <name val="Courier"/>
      <family val="3"/>
    </font>
    <font>
      <b/>
      <sz val="14"/>
      <color theme="1"/>
      <name val="Arial"/>
      <family val="2"/>
    </font>
    <font>
      <i/>
      <sz val="12"/>
      <name val="Calibri"/>
      <family val="2"/>
      <scheme val="minor"/>
    </font>
    <font>
      <sz val="14"/>
      <color indexed="8"/>
      <name val="Calibri"/>
      <family val="2"/>
    </font>
    <font>
      <sz val="10"/>
      <color indexed="8"/>
      <name val="Arial"/>
      <family val="2"/>
    </font>
    <font>
      <sz val="14"/>
      <color rgb="FF000000"/>
      <name val="Calibri"/>
      <family val="2"/>
    </font>
    <font>
      <b/>
      <sz val="11"/>
      <color theme="1"/>
      <name val="Arial"/>
      <family val="2"/>
    </font>
    <font>
      <b/>
      <sz val="12"/>
      <color theme="1"/>
      <name val="Arial"/>
      <family val="2"/>
    </font>
    <font>
      <b/>
      <sz val="12"/>
      <color indexed="8"/>
      <name val="Arial"/>
      <family val="2"/>
    </font>
    <font>
      <b/>
      <sz val="18"/>
      <color theme="0"/>
      <name val="Calibri"/>
      <family val="2"/>
      <scheme val="minor"/>
    </font>
    <font>
      <sz val="10"/>
      <name val="Courier"/>
      <family val="3"/>
    </font>
    <font>
      <sz val="12"/>
      <color theme="0"/>
      <name val="Calibri"/>
      <family val="2"/>
      <scheme val="minor"/>
    </font>
    <font>
      <sz val="10"/>
      <color theme="0"/>
      <name val="Calibri"/>
      <family val="2"/>
      <scheme val="minor"/>
    </font>
    <font>
      <b/>
      <sz val="20"/>
      <color theme="0"/>
      <name val="Calibri"/>
      <family val="2"/>
      <scheme val="minor"/>
    </font>
    <font>
      <sz val="14"/>
      <color theme="0"/>
      <name val="Calibri"/>
      <family val="2"/>
      <scheme val="minor"/>
    </font>
    <font>
      <b/>
      <sz val="16"/>
      <color theme="0"/>
      <name val="Calibri"/>
      <family val="2"/>
      <scheme val="minor"/>
    </font>
    <font>
      <i/>
      <sz val="10"/>
      <name val="Calibri"/>
      <family val="2"/>
      <scheme val="minor"/>
    </font>
    <font>
      <b/>
      <sz val="26"/>
      <color theme="1"/>
      <name val="Calibri"/>
      <family val="2"/>
      <scheme val="minor"/>
    </font>
    <font>
      <i/>
      <sz val="14"/>
      <color theme="1"/>
      <name val="Calibri"/>
      <family val="2"/>
      <scheme val="minor"/>
    </font>
    <font>
      <i/>
      <sz val="14"/>
      <name val="Calibri"/>
      <family val="2"/>
      <scheme val="minor"/>
    </font>
    <font>
      <b/>
      <i/>
      <sz val="14"/>
      <name val="Calibri"/>
      <family val="2"/>
      <scheme val="minor"/>
    </font>
    <font>
      <sz val="11"/>
      <color theme="1"/>
      <name val="Times New Roman"/>
      <family val="1"/>
    </font>
    <font>
      <sz val="10"/>
      <name val="Times New Roman"/>
      <family val="1"/>
    </font>
    <font>
      <b/>
      <sz val="10"/>
      <name val="Times New Roman"/>
      <family val="1"/>
    </font>
    <font>
      <b/>
      <sz val="9"/>
      <name val="Times New Roman"/>
      <family val="1"/>
    </font>
    <font>
      <sz val="11"/>
      <name val="Calibri"/>
      <family val="2"/>
      <scheme val="minor"/>
    </font>
    <font>
      <b/>
      <sz val="10"/>
      <color rgb="FF000000"/>
      <name val="Arial"/>
      <family val="2"/>
    </font>
    <font>
      <sz val="10"/>
      <color rgb="FF000000"/>
      <name val="Arial"/>
      <family val="2"/>
    </font>
    <font>
      <b/>
      <sz val="14"/>
      <color rgb="FF000000"/>
      <name val="Calibri"/>
      <family val="2"/>
    </font>
    <font>
      <b/>
      <sz val="14"/>
      <name val="Arial"/>
      <family val="2"/>
    </font>
  </fonts>
  <fills count="49">
    <fill>
      <patternFill patternType="none"/>
    </fill>
    <fill>
      <patternFill patternType="gray125"/>
    </fill>
    <fill>
      <patternFill patternType="solid">
        <fgColor theme="4" tint="0.79998168889431442"/>
        <bgColor indexed="64"/>
      </patternFill>
    </fill>
    <fill>
      <patternFill patternType="solid">
        <fgColor theme="3" tint="0.59996337778862885"/>
        <bgColor indexed="64"/>
      </patternFill>
    </fill>
    <fill>
      <patternFill patternType="solid">
        <fgColor theme="1"/>
        <bgColor indexed="64"/>
      </patternFill>
    </fill>
    <fill>
      <patternFill patternType="solid">
        <fgColor theme="0"/>
        <bgColor indexed="64"/>
      </patternFill>
    </fill>
    <fill>
      <patternFill patternType="solid">
        <fgColor theme="3"/>
        <bgColor indexed="64"/>
      </patternFill>
    </fill>
    <fill>
      <patternFill patternType="solid">
        <fgColor rgb="FFA5A5A5"/>
      </patternFill>
    </fill>
    <fill>
      <gradientFill degree="270">
        <stop position="0">
          <color theme="0"/>
        </stop>
        <stop position="1">
          <color theme="4"/>
        </stop>
      </gradientFill>
    </fill>
    <fill>
      <gradientFill degree="90">
        <stop position="0">
          <color theme="0"/>
        </stop>
        <stop position="1">
          <color theme="4"/>
        </stop>
      </gradientFill>
    </fill>
    <fill>
      <gradientFill degree="90">
        <stop position="0">
          <color theme="0"/>
        </stop>
        <stop position="1">
          <color theme="3" tint="0.80001220740379042"/>
        </stop>
      </gradient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auto="1"/>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3" tint="0.39997558519241921"/>
        <bgColor indexed="64"/>
      </patternFill>
    </fill>
    <fill>
      <patternFill patternType="solid">
        <fgColor theme="4" tint="0.59999389629810485"/>
        <bgColor theme="4" tint="0.59999389629810485"/>
      </patternFill>
    </fill>
    <fill>
      <patternFill patternType="solid">
        <fgColor theme="4" tint="0.39997558519241921"/>
        <bgColor indexed="64"/>
      </patternFill>
    </fill>
  </fills>
  <borders count="62">
    <border>
      <left/>
      <right/>
      <top/>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theme="4" tint="0.3999755851924192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rgb="FFD0D7E5"/>
      </left>
      <right style="thin">
        <color rgb="FFD0D7E5"/>
      </right>
      <top style="thin">
        <color rgb="FFD0D7E5"/>
      </top>
      <bottom style="thin">
        <color rgb="FFD0D7E5"/>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style="thin">
        <color indexed="64"/>
      </right>
      <top style="thin">
        <color theme="0"/>
      </top>
      <bottom style="thin">
        <color theme="0"/>
      </bottom>
      <diagonal/>
    </border>
    <border>
      <left style="thin">
        <color theme="0"/>
      </left>
      <right style="thin">
        <color indexed="64"/>
      </right>
      <top/>
      <bottom style="thin">
        <color theme="0"/>
      </bottom>
      <diagonal/>
    </border>
    <border>
      <left style="thin">
        <color theme="0"/>
      </left>
      <right style="thin">
        <color indexed="64"/>
      </right>
      <top/>
      <bottom/>
      <diagonal/>
    </border>
    <border>
      <left style="medium">
        <color indexed="64"/>
      </left>
      <right style="medium">
        <color indexed="64"/>
      </right>
      <top style="medium">
        <color indexed="64"/>
      </top>
      <bottom style="medium">
        <color indexed="64"/>
      </bottom>
      <diagonal/>
    </border>
  </borders>
  <cellStyleXfs count="106">
    <xf numFmtId="0" fontId="0" fillId="0" borderId="0"/>
    <xf numFmtId="9" fontId="1" fillId="0" borderId="0" applyFont="0" applyFill="0" applyBorder="0" applyAlignment="0" applyProtection="0"/>
    <xf numFmtId="0" fontId="11" fillId="0" borderId="0"/>
    <xf numFmtId="0" fontId="16" fillId="0" borderId="0" applyNumberFormat="0" applyFill="0" applyBorder="0" applyAlignment="0" applyProtection="0">
      <alignment vertical="top"/>
      <protection locked="0"/>
    </xf>
    <xf numFmtId="0" fontId="2" fillId="7" borderId="11" applyNumberFormat="0" applyAlignment="0" applyProtection="0"/>
    <xf numFmtId="0" fontId="19" fillId="0" borderId="0" applyNumberFormat="0" applyFill="0" applyBorder="0" applyAlignment="0" applyProtection="0"/>
    <xf numFmtId="0" fontId="20" fillId="0" borderId="0"/>
    <xf numFmtId="43" fontId="20" fillId="0" borderId="0" applyFont="0" applyFill="0" applyBorder="0" applyAlignment="0" applyProtection="0"/>
    <xf numFmtId="43" fontId="11" fillId="0" borderId="0" applyFont="0" applyFill="0" applyBorder="0" applyAlignment="0" applyProtection="0"/>
    <xf numFmtId="0" fontId="23" fillId="18" borderId="0" applyNumberFormat="0" applyBorder="0" applyAlignment="0" applyProtection="0"/>
    <xf numFmtId="0" fontId="23" fillId="22" borderId="0" applyNumberFormat="0" applyBorder="0" applyAlignment="0" applyProtection="0"/>
    <xf numFmtId="0" fontId="23" fillId="26"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23" fillId="38" borderId="0" applyNumberFormat="0" applyBorder="0" applyAlignment="0" applyProtection="0"/>
    <xf numFmtId="0" fontId="23" fillId="19" borderId="0" applyNumberFormat="0" applyBorder="0" applyAlignment="0" applyProtection="0"/>
    <xf numFmtId="0" fontId="23" fillId="23" borderId="0" applyNumberFormat="0" applyBorder="0" applyAlignment="0" applyProtection="0"/>
    <xf numFmtId="0" fontId="23" fillId="27" borderId="0" applyNumberFormat="0" applyBorder="0" applyAlignment="0" applyProtection="0"/>
    <xf numFmtId="0" fontId="23" fillId="31" borderId="0" applyNumberFormat="0" applyBorder="0" applyAlignment="0" applyProtection="0"/>
    <xf numFmtId="0" fontId="23" fillId="35" borderId="0" applyNumberFormat="0" applyBorder="0" applyAlignment="0" applyProtection="0"/>
    <xf numFmtId="0" fontId="23" fillId="39"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24" fillId="36" borderId="0" applyNumberFormat="0" applyBorder="0" applyAlignment="0" applyProtection="0"/>
    <xf numFmtId="0" fontId="24" fillId="40"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37" borderId="0" applyNumberFormat="0" applyBorder="0" applyAlignment="0" applyProtection="0"/>
    <xf numFmtId="0" fontId="25" fillId="12" borderId="0" applyNumberFormat="0" applyBorder="0" applyAlignment="0" applyProtection="0"/>
    <xf numFmtId="0" fontId="26" fillId="15" borderId="17" applyNumberFormat="0" applyAlignment="0" applyProtection="0"/>
    <xf numFmtId="0" fontId="27" fillId="7" borderId="11" applyNumberFormat="0" applyAlignment="0" applyProtection="0"/>
    <xf numFmtId="0" fontId="28" fillId="0" borderId="0" applyNumberFormat="0" applyFill="0" applyBorder="0" applyAlignment="0" applyProtection="0"/>
    <xf numFmtId="0" fontId="29" fillId="11" borderId="0" applyNumberFormat="0" applyBorder="0" applyAlignment="0" applyProtection="0"/>
    <xf numFmtId="0" fontId="30" fillId="0" borderId="14" applyNumberFormat="0" applyFill="0" applyAlignment="0" applyProtection="0"/>
    <xf numFmtId="0" fontId="31" fillId="0" borderId="15" applyNumberFormat="0" applyFill="0" applyAlignment="0" applyProtection="0"/>
    <xf numFmtId="0" fontId="32" fillId="0" borderId="16" applyNumberFormat="0" applyFill="0" applyAlignment="0" applyProtection="0"/>
    <xf numFmtId="0" fontId="32" fillId="0" borderId="0" applyNumberFormat="0" applyFill="0" applyBorder="0" applyAlignment="0" applyProtection="0"/>
    <xf numFmtId="0" fontId="33" fillId="14" borderId="17" applyNumberFormat="0" applyAlignment="0" applyProtection="0"/>
    <xf numFmtId="0" fontId="34" fillId="0" borderId="19" applyNumberFormat="0" applyFill="0" applyAlignment="0" applyProtection="0"/>
    <xf numFmtId="0" fontId="35" fillId="13" borderId="0" applyNumberFormat="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23" fillId="0" borderId="0"/>
    <xf numFmtId="0" fontId="23" fillId="16" borderId="20" applyNumberFormat="0" applyFont="0" applyAlignment="0" applyProtection="0"/>
    <xf numFmtId="0" fontId="23" fillId="16" borderId="20" applyNumberFormat="0" applyFont="0" applyAlignment="0" applyProtection="0"/>
    <xf numFmtId="0" fontId="23" fillId="16" borderId="20" applyNumberFormat="0" applyFont="0" applyAlignment="0" applyProtection="0"/>
    <xf numFmtId="0" fontId="23" fillId="16" borderId="20" applyNumberFormat="0" applyFont="0" applyAlignment="0" applyProtection="0"/>
    <xf numFmtId="0" fontId="23" fillId="16" borderId="20" applyNumberFormat="0" applyFont="0" applyAlignment="0" applyProtection="0"/>
    <xf numFmtId="0" fontId="23" fillId="16" borderId="20" applyNumberFormat="0" applyFont="0" applyAlignment="0" applyProtection="0"/>
    <xf numFmtId="0" fontId="23" fillId="16" borderId="20" applyNumberFormat="0" applyFont="0" applyAlignment="0" applyProtection="0"/>
    <xf numFmtId="0" fontId="23" fillId="16" borderId="20" applyNumberFormat="0" applyFont="0" applyAlignment="0" applyProtection="0"/>
    <xf numFmtId="0" fontId="23" fillId="16" borderId="20" applyNumberFormat="0" applyFont="0" applyAlignment="0" applyProtection="0"/>
    <xf numFmtId="0" fontId="23" fillId="16" borderId="20" applyNumberFormat="0" applyFont="0" applyAlignment="0" applyProtection="0"/>
    <xf numFmtId="0" fontId="36" fillId="15" borderId="18" applyNumberFormat="0" applyAlignment="0" applyProtection="0"/>
    <xf numFmtId="9" fontId="1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37" fillId="0" borderId="21" applyNumberFormat="0" applyFill="0" applyAlignment="0" applyProtection="0"/>
    <xf numFmtId="0" fontId="38" fillId="0" borderId="0" applyNumberFormat="0" applyFill="0" applyBorder="0" applyAlignment="0" applyProtection="0"/>
    <xf numFmtId="44" fontId="1" fillId="0" borderId="0" applyFont="0" applyFill="0" applyBorder="0" applyAlignment="0" applyProtection="0"/>
    <xf numFmtId="0" fontId="46" fillId="0" borderId="0"/>
    <xf numFmtId="9" fontId="46" fillId="0" borderId="0" applyFont="0" applyFill="0" applyBorder="0" applyAlignment="0" applyProtection="0"/>
    <xf numFmtId="169" fontId="47" fillId="0" borderId="0"/>
    <xf numFmtId="0" fontId="60" fillId="0" borderId="0"/>
    <xf numFmtId="44" fontId="11" fillId="0" borderId="0" applyFont="0" applyFill="0" applyBorder="0" applyAlignment="0" applyProtection="0"/>
    <xf numFmtId="0" fontId="11" fillId="0" borderId="0"/>
    <xf numFmtId="169" fontId="61" fillId="0" borderId="0"/>
    <xf numFmtId="0" fontId="65" fillId="0" borderId="0"/>
    <xf numFmtId="169" fontId="71" fillId="0" borderId="0"/>
    <xf numFmtId="169" fontId="47" fillId="0" borderId="0"/>
    <xf numFmtId="0" fontId="1" fillId="0" borderId="0"/>
    <xf numFmtId="169" fontId="47" fillId="0" borderId="0"/>
  </cellStyleXfs>
  <cellXfs count="656">
    <xf numFmtId="0" fontId="0" fillId="0" borderId="0" xfId="0"/>
    <xf numFmtId="0" fontId="0" fillId="0" borderId="0" xfId="0" applyAlignment="1">
      <alignment wrapText="1"/>
    </xf>
    <xf numFmtId="0" fontId="0" fillId="0" borderId="0" xfId="0" applyFill="1" applyBorder="1"/>
    <xf numFmtId="0" fontId="0" fillId="0" borderId="0" xfId="0" applyFill="1"/>
    <xf numFmtId="0" fontId="4" fillId="0" borderId="0" xfId="0" applyFont="1" applyFill="1" applyBorder="1"/>
    <xf numFmtId="0" fontId="4" fillId="0" borderId="0" xfId="0" applyFont="1"/>
    <xf numFmtId="0" fontId="5" fillId="0" borderId="0" xfId="0" applyFont="1"/>
    <xf numFmtId="0" fontId="5" fillId="0" borderId="0" xfId="0" applyFont="1" applyAlignment="1">
      <alignment wrapText="1"/>
    </xf>
    <xf numFmtId="0" fontId="4" fillId="0" borderId="0" xfId="0" applyFont="1" applyAlignment="1">
      <alignment wrapText="1"/>
    </xf>
    <xf numFmtId="0" fontId="4" fillId="0" borderId="0" xfId="0" applyFont="1" applyBorder="1"/>
    <xf numFmtId="0" fontId="0" fillId="0" borderId="0" xfId="0" applyBorder="1"/>
    <xf numFmtId="3" fontId="0" fillId="0" borderId="0" xfId="0" applyNumberFormat="1" applyBorder="1"/>
    <xf numFmtId="9" fontId="0" fillId="0" borderId="0" xfId="0" applyNumberFormat="1"/>
    <xf numFmtId="9" fontId="0" fillId="0" borderId="0" xfId="1" applyFont="1" applyAlignment="1">
      <alignment wrapText="1"/>
    </xf>
    <xf numFmtId="9" fontId="0" fillId="0" borderId="0" xfId="1" applyFont="1"/>
    <xf numFmtId="0" fontId="11" fillId="0" borderId="0" xfId="2"/>
    <xf numFmtId="9" fontId="4" fillId="0" borderId="0" xfId="0" applyNumberFormat="1" applyFont="1" applyBorder="1" applyAlignment="1">
      <alignment horizontal="center"/>
    </xf>
    <xf numFmtId="0" fontId="18" fillId="0" borderId="0" xfId="0" applyFont="1"/>
    <xf numFmtId="0" fontId="11" fillId="0" borderId="0" xfId="2"/>
    <xf numFmtId="3" fontId="5" fillId="8" borderId="0" xfId="0" applyNumberFormat="1" applyFont="1" applyFill="1" applyBorder="1" applyAlignment="1">
      <alignment horizontal="left" wrapText="1"/>
    </xf>
    <xf numFmtId="3" fontId="4" fillId="0" borderId="0" xfId="0" applyNumberFormat="1" applyFont="1" applyBorder="1" applyAlignment="1">
      <alignment horizontal="left" indent="1"/>
    </xf>
    <xf numFmtId="9" fontId="0" fillId="0" borderId="0" xfId="0" applyNumberFormat="1" applyBorder="1"/>
    <xf numFmtId="9" fontId="0" fillId="0" borderId="0" xfId="0" applyNumberFormat="1" applyFill="1" applyBorder="1"/>
    <xf numFmtId="0" fontId="11" fillId="0" borderId="0" xfId="2" applyBorder="1"/>
    <xf numFmtId="0" fontId="4" fillId="0" borderId="0" xfId="0" applyFont="1" applyFill="1" applyBorder="1" applyAlignment="1">
      <alignment horizontal="center" wrapText="1"/>
    </xf>
    <xf numFmtId="0" fontId="14" fillId="8" borderId="0" xfId="0" applyFont="1" applyFill="1" applyBorder="1" applyAlignment="1">
      <alignment wrapText="1"/>
    </xf>
    <xf numFmtId="0" fontId="12" fillId="8" borderId="0" xfId="0" applyFont="1" applyFill="1" applyBorder="1" applyAlignment="1">
      <alignment wrapText="1"/>
    </xf>
    <xf numFmtId="0" fontId="12" fillId="8" borderId="0" xfId="0" applyFont="1" applyFill="1" applyBorder="1" applyAlignment="1">
      <alignment horizontal="center" wrapText="1"/>
    </xf>
    <xf numFmtId="0" fontId="5" fillId="8" borderId="0" xfId="0" applyFont="1" applyFill="1" applyBorder="1" applyAlignment="1">
      <alignment wrapText="1"/>
    </xf>
    <xf numFmtId="164" fontId="0" fillId="0" borderId="0" xfId="0" applyNumberFormat="1" applyBorder="1"/>
    <xf numFmtId="0" fontId="0" fillId="0" borderId="0" xfId="0" applyFont="1" applyBorder="1" applyAlignment="1">
      <alignment horizontal="left"/>
    </xf>
    <xf numFmtId="0" fontId="4" fillId="0" borderId="0" xfId="0" applyFont="1" applyBorder="1" applyAlignment="1">
      <alignment horizontal="left"/>
    </xf>
    <xf numFmtId="0" fontId="18" fillId="0" borderId="0" xfId="0" applyFont="1" applyBorder="1"/>
    <xf numFmtId="0" fontId="4" fillId="0" borderId="0" xfId="0" applyFont="1" applyBorder="1" applyAlignment="1">
      <alignment horizontal="left" wrapText="1"/>
    </xf>
    <xf numFmtId="0" fontId="6" fillId="8" borderId="0" xfId="0" applyFont="1" applyFill="1" applyBorder="1" applyAlignment="1">
      <alignment horizontal="center" wrapText="1"/>
    </xf>
    <xf numFmtId="10" fontId="5" fillId="0" borderId="0" xfId="0" applyNumberFormat="1" applyFont="1" applyFill="1" applyBorder="1" applyAlignment="1">
      <alignment horizontal="center" wrapText="1"/>
    </xf>
    <xf numFmtId="3" fontId="10" fillId="0" borderId="0" xfId="0" applyNumberFormat="1" applyFont="1" applyFill="1" applyBorder="1" applyAlignment="1">
      <alignment horizontal="center"/>
    </xf>
    <xf numFmtId="0" fontId="0" fillId="0" borderId="0" xfId="0" applyFill="1" applyBorder="1" applyAlignment="1">
      <alignment wrapText="1"/>
    </xf>
    <xf numFmtId="0" fontId="2" fillId="0" borderId="0" xfId="4" applyFill="1" applyBorder="1"/>
    <xf numFmtId="3" fontId="10" fillId="0" borderId="0" xfId="0" applyNumberFormat="1" applyFont="1" applyFill="1" applyBorder="1" applyAlignment="1">
      <alignment horizontal="center" wrapText="1"/>
    </xf>
    <xf numFmtId="0" fontId="11" fillId="0" borderId="0" xfId="2" applyBorder="1" applyAlignment="1">
      <alignment horizontal="left"/>
    </xf>
    <xf numFmtId="0" fontId="6" fillId="8" borderId="0" xfId="0" applyFont="1" applyFill="1" applyBorder="1" applyAlignment="1">
      <alignment horizontal="left" wrapText="1"/>
    </xf>
    <xf numFmtId="164" fontId="0" fillId="0" borderId="0" xfId="0" applyNumberFormat="1" applyBorder="1" applyAlignment="1">
      <alignment horizontal="left"/>
    </xf>
    <xf numFmtId="0" fontId="0" fillId="0" borderId="0" xfId="0" applyBorder="1" applyAlignment="1">
      <alignment horizontal="left"/>
    </xf>
    <xf numFmtId="0" fontId="0" fillId="0" borderId="0" xfId="0" applyAlignment="1">
      <alignment horizontal="left"/>
    </xf>
    <xf numFmtId="0" fontId="14" fillId="8" borderId="0" xfId="0" applyFont="1" applyFill="1" applyBorder="1" applyAlignment="1">
      <alignment horizontal="left" wrapText="1"/>
    </xf>
    <xf numFmtId="3" fontId="0" fillId="0" borderId="0" xfId="0" applyNumberFormat="1" applyBorder="1" applyAlignment="1">
      <alignment horizontal="left"/>
    </xf>
    <xf numFmtId="0" fontId="17" fillId="8" borderId="0" xfId="0" applyFont="1" applyFill="1" applyBorder="1" applyAlignment="1">
      <alignment horizontal="left"/>
    </xf>
    <xf numFmtId="0" fontId="0" fillId="0" borderId="0" xfId="0" applyFill="1" applyBorder="1" applyAlignment="1">
      <alignment horizontal="left"/>
    </xf>
    <xf numFmtId="9" fontId="0" fillId="0" borderId="0" xfId="0" applyNumberFormat="1" applyBorder="1" applyAlignment="1">
      <alignment horizontal="left"/>
    </xf>
    <xf numFmtId="9" fontId="4" fillId="0" borderId="0" xfId="0" applyNumberFormat="1" applyFont="1" applyBorder="1" applyAlignment="1">
      <alignment horizontal="left"/>
    </xf>
    <xf numFmtId="0" fontId="5" fillId="8" borderId="0" xfId="0" applyFont="1" applyFill="1" applyBorder="1" applyAlignment="1">
      <alignment horizontal="left" wrapText="1"/>
    </xf>
    <xf numFmtId="0" fontId="11" fillId="0" borderId="0" xfId="2" applyAlignment="1">
      <alignment horizontal="left"/>
    </xf>
    <xf numFmtId="0" fontId="17" fillId="8" borderId="0" xfId="0" applyFont="1" applyFill="1" applyBorder="1" applyAlignment="1">
      <alignment vertical="top"/>
    </xf>
    <xf numFmtId="0" fontId="17" fillId="8" borderId="0" xfId="0" applyFont="1" applyFill="1" applyBorder="1" applyAlignment="1"/>
    <xf numFmtId="0" fontId="39" fillId="9" borderId="0" xfId="0" applyFont="1" applyFill="1" applyBorder="1" applyAlignment="1"/>
    <xf numFmtId="3" fontId="10" fillId="0" borderId="0" xfId="1" applyNumberFormat="1" applyFont="1" applyFill="1" applyBorder="1" applyAlignment="1">
      <alignment horizontal="center"/>
    </xf>
    <xf numFmtId="9" fontId="10" fillId="0" borderId="0" xfId="0" applyNumberFormat="1" applyFont="1" applyFill="1" applyBorder="1" applyAlignment="1">
      <alignment horizontal="center"/>
    </xf>
    <xf numFmtId="3" fontId="40" fillId="0" borderId="0" xfId="0" applyNumberFormat="1" applyFont="1" applyFill="1" applyBorder="1" applyAlignment="1">
      <alignment horizontal="center"/>
    </xf>
    <xf numFmtId="3" fontId="21" fillId="0" borderId="0" xfId="0" applyNumberFormat="1" applyFont="1" applyFill="1" applyBorder="1" applyAlignment="1">
      <alignment horizontal="center"/>
    </xf>
    <xf numFmtId="0" fontId="2" fillId="0" borderId="0" xfId="4" applyFill="1" applyBorder="1" applyAlignment="1">
      <alignment wrapText="1"/>
    </xf>
    <xf numFmtId="9" fontId="10" fillId="0" borderId="0" xfId="0" applyNumberFormat="1" applyFont="1" applyFill="1" applyBorder="1" applyAlignment="1">
      <alignment horizontal="center" wrapText="1"/>
    </xf>
    <xf numFmtId="3" fontId="6" fillId="0" borderId="0" xfId="0" applyNumberFormat="1" applyFont="1" applyFill="1" applyBorder="1"/>
    <xf numFmtId="3" fontId="0" fillId="0" borderId="0" xfId="0" applyNumberFormat="1" applyFill="1" applyBorder="1"/>
    <xf numFmtId="0" fontId="11" fillId="0" borderId="0" xfId="2" applyFill="1" applyBorder="1"/>
    <xf numFmtId="3" fontId="14" fillId="0" borderId="0" xfId="4" applyNumberFormat="1" applyFont="1" applyFill="1" applyBorder="1" applyAlignment="1">
      <alignment horizontal="center"/>
    </xf>
    <xf numFmtId="3" fontId="14" fillId="0" borderId="0" xfId="4" applyNumberFormat="1" applyFont="1" applyFill="1" applyBorder="1" applyAlignment="1">
      <alignment horizontal="center" wrapText="1"/>
    </xf>
    <xf numFmtId="3" fontId="22" fillId="0" borderId="0" xfId="0" applyNumberFormat="1" applyFont="1" applyFill="1" applyBorder="1"/>
    <xf numFmtId="9" fontId="2" fillId="0" borderId="0" xfId="4" applyNumberFormat="1" applyFill="1" applyBorder="1"/>
    <xf numFmtId="3" fontId="14" fillId="0" borderId="0" xfId="4" applyNumberFormat="1" applyFont="1" applyFill="1" applyBorder="1"/>
    <xf numFmtId="3" fontId="2" fillId="0" borderId="0" xfId="4" applyNumberFormat="1" applyFill="1" applyBorder="1"/>
    <xf numFmtId="0" fontId="15" fillId="0" borderId="0" xfId="2" applyFont="1" applyBorder="1" applyAlignment="1">
      <alignment vertical="center" wrapText="1"/>
    </xf>
    <xf numFmtId="0" fontId="15" fillId="0" borderId="0" xfId="2" applyFont="1" applyAlignment="1">
      <alignment vertical="center" wrapText="1"/>
    </xf>
    <xf numFmtId="0" fontId="9" fillId="0" borderId="0" xfId="0" applyFont="1" applyAlignment="1">
      <alignment vertical="center" wrapText="1"/>
    </xf>
    <xf numFmtId="3" fontId="5" fillId="10" borderId="0" xfId="0" applyNumberFormat="1" applyFont="1" applyFill="1" applyBorder="1" applyAlignment="1">
      <alignment horizontal="left" wrapText="1"/>
    </xf>
    <xf numFmtId="167" fontId="5" fillId="10" borderId="0" xfId="0" applyNumberFormat="1" applyFont="1" applyFill="1" applyBorder="1" applyAlignment="1">
      <alignment horizontal="left" wrapText="1"/>
    </xf>
    <xf numFmtId="2" fontId="13" fillId="10" borderId="0" xfId="2" applyNumberFormat="1" applyFont="1" applyFill="1" applyBorder="1" applyAlignment="1">
      <alignment horizontal="left" wrapText="1"/>
    </xf>
    <xf numFmtId="0" fontId="4" fillId="4" borderId="0" xfId="0" applyFont="1" applyFill="1"/>
    <xf numFmtId="0" fontId="4" fillId="0" borderId="0" xfId="0" applyFont="1" applyFill="1" applyBorder="1" applyAlignment="1">
      <alignment wrapText="1"/>
    </xf>
    <xf numFmtId="3" fontId="42" fillId="0" borderId="0" xfId="0" applyNumberFormat="1" applyFont="1" applyFill="1" applyBorder="1" applyAlignment="1">
      <alignment horizontal="center"/>
    </xf>
    <xf numFmtId="0" fontId="42" fillId="0" borderId="0" xfId="0" applyFont="1" applyFill="1" applyBorder="1"/>
    <xf numFmtId="0" fontId="42" fillId="0" borderId="0" xfId="0" applyFont="1" applyFill="1" applyBorder="1" applyAlignment="1">
      <alignment horizontal="center"/>
    </xf>
    <xf numFmtId="0" fontId="13" fillId="41" borderId="6" xfId="0" applyFont="1" applyFill="1" applyBorder="1" applyAlignment="1">
      <alignment horizontal="left" vertical="center"/>
    </xf>
    <xf numFmtId="0" fontId="13" fillId="0" borderId="6" xfId="0" applyFont="1" applyBorder="1"/>
    <xf numFmtId="0" fontId="5" fillId="0" borderId="6" xfId="0" applyFont="1" applyBorder="1"/>
    <xf numFmtId="0" fontId="4" fillId="0" borderId="6" xfId="0" applyFont="1" applyBorder="1" applyAlignment="1">
      <alignment wrapText="1"/>
    </xf>
    <xf numFmtId="9" fontId="42" fillId="0" borderId="6" xfId="0" applyNumberFormat="1" applyFont="1" applyBorder="1" applyAlignment="1">
      <alignment wrapText="1"/>
    </xf>
    <xf numFmtId="3" fontId="42" fillId="0" borderId="6" xfId="0" applyNumberFormat="1" applyFont="1" applyBorder="1" applyAlignment="1">
      <alignment wrapText="1"/>
    </xf>
    <xf numFmtId="3" fontId="42" fillId="41" borderId="6" xfId="0" applyNumberFormat="1" applyFont="1" applyFill="1" applyBorder="1" applyAlignment="1">
      <alignment vertical="center" wrapText="1"/>
    </xf>
    <xf numFmtId="4" fontId="42" fillId="0" borderId="6" xfId="0" applyNumberFormat="1" applyFont="1" applyBorder="1" applyAlignment="1">
      <alignment wrapText="1"/>
    </xf>
    <xf numFmtId="0" fontId="42" fillId="4" borderId="29" xfId="0" applyFont="1" applyFill="1" applyBorder="1"/>
    <xf numFmtId="0" fontId="42" fillId="4" borderId="7" xfId="0" applyFont="1" applyFill="1" applyBorder="1"/>
    <xf numFmtId="3" fontId="42" fillId="4" borderId="7" xfId="0" applyNumberFormat="1" applyFont="1" applyFill="1" applyBorder="1" applyAlignment="1">
      <alignment vertical="center" wrapText="1"/>
    </xf>
    <xf numFmtId="0" fontId="0" fillId="0" borderId="0" xfId="0" applyFill="1" applyAlignment="1">
      <alignment wrapText="1"/>
    </xf>
    <xf numFmtId="0" fontId="0" fillId="0" borderId="0" xfId="0" applyFill="1" applyBorder="1" applyAlignment="1"/>
    <xf numFmtId="9" fontId="42" fillId="0" borderId="0" xfId="0" applyNumberFormat="1" applyFont="1" applyFill="1" applyBorder="1" applyAlignment="1">
      <alignment horizontal="center"/>
    </xf>
    <xf numFmtId="0" fontId="4" fillId="0" borderId="0" xfId="0" applyFont="1" applyFill="1" applyBorder="1" applyAlignment="1">
      <alignment horizontal="center"/>
    </xf>
    <xf numFmtId="0" fontId="4" fillId="0" borderId="0" xfId="0" applyFont="1" applyAlignment="1">
      <alignment horizontal="center"/>
    </xf>
    <xf numFmtId="0" fontId="7" fillId="0" borderId="0" xfId="0" applyFont="1" applyFill="1" applyBorder="1" applyAlignment="1">
      <alignment horizontal="center" vertical="center" textRotation="255" wrapText="1"/>
    </xf>
    <xf numFmtId="0" fontId="0" fillId="0" borderId="6" xfId="0" applyBorder="1"/>
    <xf numFmtId="0" fontId="6" fillId="8" borderId="0" xfId="0" applyFont="1" applyFill="1" applyBorder="1" applyAlignment="1">
      <alignment horizontal="center" wrapText="1"/>
    </xf>
    <xf numFmtId="0" fontId="45" fillId="0" borderId="6" xfId="0" applyFont="1" applyBorder="1"/>
    <xf numFmtId="165" fontId="0" fillId="0" borderId="6" xfId="0" applyNumberFormat="1" applyBorder="1"/>
    <xf numFmtId="0" fontId="43" fillId="0" borderId="0" xfId="0" applyFont="1" applyAlignment="1">
      <alignment wrapText="1"/>
    </xf>
    <xf numFmtId="9" fontId="13" fillId="10" borderId="0" xfId="2" applyNumberFormat="1" applyFont="1" applyFill="1" applyBorder="1" applyAlignment="1">
      <alignment horizontal="left" wrapText="1"/>
    </xf>
    <xf numFmtId="0" fontId="46" fillId="0" borderId="0" xfId="94"/>
    <xf numFmtId="0" fontId="46" fillId="0" borderId="12" xfId="94" applyBorder="1" applyAlignment="1">
      <alignment horizontal="center"/>
    </xf>
    <xf numFmtId="3" fontId="46" fillId="0" borderId="0" xfId="94" applyNumberFormat="1"/>
    <xf numFmtId="0" fontId="46" fillId="0" borderId="0" xfId="94" applyAlignment="1">
      <alignment horizontal="right" wrapText="1"/>
    </xf>
    <xf numFmtId="0" fontId="48" fillId="0" borderId="0" xfId="0" applyFont="1"/>
    <xf numFmtId="0" fontId="0" fillId="0" borderId="0" xfId="0" pivotButton="1"/>
    <xf numFmtId="0" fontId="0" fillId="0" borderId="0" xfId="0" applyNumberFormat="1"/>
    <xf numFmtId="0" fontId="39" fillId="8" borderId="0" xfId="0" applyFont="1" applyFill="1" applyBorder="1" applyAlignment="1">
      <alignment vertical="center"/>
    </xf>
    <xf numFmtId="3" fontId="45" fillId="0" borderId="13" xfId="0" applyNumberFormat="1" applyFont="1" applyBorder="1"/>
    <xf numFmtId="9" fontId="45" fillId="0" borderId="13" xfId="0" applyNumberFormat="1" applyFont="1" applyBorder="1"/>
    <xf numFmtId="165" fontId="45" fillId="0" borderId="13" xfId="0" applyNumberFormat="1" applyFont="1" applyBorder="1"/>
    <xf numFmtId="0" fontId="45" fillId="0" borderId="0" xfId="0" applyFont="1" applyBorder="1" applyAlignment="1">
      <alignment horizontal="right"/>
    </xf>
    <xf numFmtId="3" fontId="45" fillId="0" borderId="13" xfId="0" applyNumberFormat="1" applyFont="1" applyBorder="1" applyAlignment="1">
      <alignment horizontal="right"/>
    </xf>
    <xf numFmtId="3" fontId="44" fillId="0" borderId="6" xfId="0" applyNumberFormat="1" applyFont="1" applyBorder="1" applyAlignment="1">
      <alignment horizontal="right" wrapText="1"/>
    </xf>
    <xf numFmtId="9" fontId="44" fillId="0" borderId="6" xfId="0" applyNumberFormat="1" applyFont="1" applyBorder="1" applyAlignment="1">
      <alignment horizontal="right" wrapText="1"/>
    </xf>
    <xf numFmtId="0" fontId="44" fillId="0" borderId="6" xfId="0" applyFont="1" applyBorder="1" applyAlignment="1">
      <alignment wrapText="1"/>
    </xf>
    <xf numFmtId="165" fontId="44" fillId="0" borderId="6" xfId="0" applyNumberFormat="1" applyFont="1" applyBorder="1" applyAlignment="1">
      <alignment horizontal="right" wrapText="1"/>
    </xf>
    <xf numFmtId="166" fontId="45" fillId="0" borderId="13" xfId="0" applyNumberFormat="1" applyFont="1" applyBorder="1"/>
    <xf numFmtId="0" fontId="46" fillId="0" borderId="0" xfId="94" applyFill="1" applyBorder="1" applyAlignment="1">
      <alignment horizontal="center"/>
    </xf>
    <xf numFmtId="164" fontId="46" fillId="0" borderId="0" xfId="94" applyNumberFormat="1"/>
    <xf numFmtId="3" fontId="49" fillId="0" borderId="6" xfId="0" applyNumberFormat="1" applyFont="1" applyBorder="1"/>
    <xf numFmtId="10" fontId="49" fillId="0" borderId="6" xfId="0" applyNumberFormat="1" applyFont="1" applyBorder="1"/>
    <xf numFmtId="165" fontId="49" fillId="0" borderId="6" xfId="0" applyNumberFormat="1" applyFont="1" applyBorder="1"/>
    <xf numFmtId="0" fontId="49" fillId="0" borderId="6" xfId="0" applyFont="1" applyBorder="1"/>
    <xf numFmtId="0" fontId="17" fillId="8" borderId="0" xfId="0" applyFont="1" applyFill="1" applyBorder="1" applyAlignment="1">
      <alignment horizontal="right" vertical="center"/>
    </xf>
    <xf numFmtId="0" fontId="0" fillId="0" borderId="0" xfId="0" applyBorder="1" applyAlignment="1">
      <alignment wrapText="1"/>
    </xf>
    <xf numFmtId="0" fontId="39" fillId="0" borderId="0" xfId="0" applyFont="1" applyFill="1" applyBorder="1" applyAlignment="1"/>
    <xf numFmtId="0" fontId="52" fillId="0" borderId="0" xfId="0" applyFont="1" applyAlignment="1">
      <alignment wrapText="1"/>
    </xf>
    <xf numFmtId="0" fontId="7" fillId="0" borderId="0" xfId="0" applyFont="1" applyFill="1" applyBorder="1" applyAlignment="1"/>
    <xf numFmtId="0" fontId="7" fillId="0" borderId="0" xfId="0" applyFont="1" applyFill="1" applyBorder="1" applyAlignment="1">
      <alignment vertical="center"/>
    </xf>
    <xf numFmtId="0" fontId="0" fillId="0" borderId="0" xfId="0" applyFill="1" applyBorder="1" applyAlignment="1">
      <alignment horizontal="center"/>
    </xf>
    <xf numFmtId="0" fontId="18" fillId="0" borderId="0" xfId="0" applyFont="1" applyBorder="1" applyAlignment="1">
      <alignment horizontal="center"/>
    </xf>
    <xf numFmtId="3" fontId="51" fillId="0" borderId="0" xfId="0" applyNumberFormat="1" applyFont="1" applyFill="1" applyBorder="1" applyAlignment="1">
      <alignment wrapText="1"/>
    </xf>
    <xf numFmtId="3" fontId="8" fillId="43" borderId="0" xfId="0" applyNumberFormat="1" applyFont="1" applyFill="1" applyBorder="1" applyAlignment="1">
      <alignment wrapText="1"/>
    </xf>
    <xf numFmtId="3" fontId="8" fillId="0" borderId="0" xfId="0" applyNumberFormat="1" applyFont="1" applyFill="1" applyBorder="1" applyAlignment="1">
      <alignment wrapText="1"/>
    </xf>
    <xf numFmtId="165" fontId="8" fillId="43" borderId="0" xfId="0" applyNumberFormat="1" applyFont="1" applyFill="1" applyBorder="1" applyAlignment="1">
      <alignment wrapText="1"/>
    </xf>
    <xf numFmtId="0" fontId="6" fillId="8" borderId="0" xfId="0" applyFont="1" applyFill="1" applyBorder="1" applyAlignment="1">
      <alignment horizontal="center" wrapText="1"/>
    </xf>
    <xf numFmtId="0" fontId="11" fillId="0" borderId="0" xfId="2"/>
    <xf numFmtId="0" fontId="11" fillId="0" borderId="0" xfId="2" applyAlignment="1">
      <alignment horizontal="left"/>
    </xf>
    <xf numFmtId="0" fontId="18" fillId="0" borderId="0" xfId="0" applyFont="1" applyBorder="1" applyAlignment="1">
      <alignment horizontal="center"/>
    </xf>
    <xf numFmtId="165" fontId="44" fillId="0" borderId="7" xfId="0" applyNumberFormat="1" applyFont="1" applyBorder="1" applyAlignment="1">
      <alignment horizontal="right" wrapText="1"/>
    </xf>
    <xf numFmtId="0" fontId="7" fillId="0" borderId="0" xfId="0" applyFont="1" applyBorder="1" applyAlignment="1">
      <alignment horizontal="center"/>
    </xf>
    <xf numFmtId="0" fontId="7" fillId="0" borderId="0" xfId="0" applyFont="1" applyFill="1" applyBorder="1" applyAlignment="1">
      <alignment horizontal="center"/>
    </xf>
    <xf numFmtId="0" fontId="39" fillId="0" borderId="0" xfId="0" applyFont="1"/>
    <xf numFmtId="0" fontId="3" fillId="2" borderId="0" xfId="0" applyFont="1" applyFill="1"/>
    <xf numFmtId="0" fontId="3" fillId="2" borderId="0" xfId="0" applyFont="1" applyFill="1" applyAlignment="1">
      <alignment wrapText="1"/>
    </xf>
    <xf numFmtId="0" fontId="3" fillId="2" borderId="0" xfId="0" applyFont="1" applyFill="1" applyBorder="1"/>
    <xf numFmtId="0" fontId="8" fillId="4" borderId="0" xfId="0" applyFont="1" applyFill="1"/>
    <xf numFmtId="0" fontId="8" fillId="0" borderId="0" xfId="0" applyFont="1" applyAlignment="1">
      <alignment wrapText="1"/>
    </xf>
    <xf numFmtId="0" fontId="8" fillId="0" borderId="0" xfId="0" applyFont="1"/>
    <xf numFmtId="0" fontId="3" fillId="0" borderId="0" xfId="0" applyFont="1"/>
    <xf numFmtId="0" fontId="13" fillId="4" borderId="0" xfId="0" applyFont="1" applyFill="1"/>
    <xf numFmtId="0" fontId="5" fillId="2" borderId="0" xfId="0" applyFont="1" applyFill="1" applyBorder="1"/>
    <xf numFmtId="10" fontId="46" fillId="0" borderId="0" xfId="94" applyNumberFormat="1"/>
    <xf numFmtId="164" fontId="46" fillId="0" borderId="0" xfId="1" applyNumberFormat="1" applyFont="1"/>
    <xf numFmtId="165" fontId="45" fillId="0" borderId="0" xfId="2" applyNumberFormat="1" applyFont="1" applyAlignment="1">
      <alignment horizontal="right"/>
    </xf>
    <xf numFmtId="3" fontId="45" fillId="0" borderId="0" xfId="2" applyNumberFormat="1" applyFont="1" applyAlignment="1">
      <alignment horizontal="right"/>
    </xf>
    <xf numFmtId="0" fontId="45" fillId="0" borderId="0" xfId="2" applyFont="1" applyBorder="1" applyAlignment="1">
      <alignment horizontal="left"/>
    </xf>
    <xf numFmtId="10" fontId="45" fillId="0" borderId="13" xfId="1" applyNumberFormat="1" applyFont="1" applyBorder="1" applyAlignment="1">
      <alignment horizontal="right"/>
    </xf>
    <xf numFmtId="1" fontId="46" fillId="0" borderId="0" xfId="94" applyNumberFormat="1"/>
    <xf numFmtId="3" fontId="11" fillId="0" borderId="0" xfId="2" applyNumberFormat="1" applyFont="1" applyFill="1" applyAlignment="1">
      <alignment horizontal="right"/>
    </xf>
    <xf numFmtId="165" fontId="11" fillId="0" borderId="12" xfId="2" applyNumberFormat="1" applyFont="1" applyFill="1" applyBorder="1" applyAlignment="1">
      <alignment horizontal="right"/>
    </xf>
    <xf numFmtId="3" fontId="11" fillId="0" borderId="12" xfId="2" applyNumberFormat="1" applyFont="1" applyFill="1" applyBorder="1" applyAlignment="1">
      <alignment horizontal="right"/>
    </xf>
    <xf numFmtId="165" fontId="11" fillId="0" borderId="0" xfId="2" applyNumberFormat="1" applyFont="1" applyAlignment="1">
      <alignment horizontal="right"/>
    </xf>
    <xf numFmtId="166" fontId="11" fillId="0" borderId="0" xfId="93" applyNumberFormat="1" applyFont="1"/>
    <xf numFmtId="9" fontId="46" fillId="0" borderId="0" xfId="1" applyFont="1"/>
    <xf numFmtId="0" fontId="56" fillId="4" borderId="0" xfId="0" applyFont="1" applyFill="1" applyBorder="1"/>
    <xf numFmtId="0" fontId="39" fillId="8" borderId="0" xfId="0" applyFont="1" applyFill="1" applyBorder="1" applyAlignment="1">
      <alignment vertical="top"/>
    </xf>
    <xf numFmtId="0" fontId="39" fillId="8" borderId="0" xfId="0" applyFont="1" applyFill="1" applyBorder="1" applyAlignment="1">
      <alignment horizontal="right" vertical="top"/>
    </xf>
    <xf numFmtId="0" fontId="62" fillId="45" borderId="33" xfId="0" applyFont="1" applyFill="1" applyBorder="1"/>
    <xf numFmtId="0" fontId="3" fillId="46" borderId="0" xfId="0" applyFont="1" applyFill="1" applyAlignment="1">
      <alignment horizontal="center"/>
    </xf>
    <xf numFmtId="0" fontId="3" fillId="46" borderId="0" xfId="0" applyFont="1" applyFill="1" applyAlignment="1">
      <alignment horizontal="center" wrapText="1"/>
    </xf>
    <xf numFmtId="0" fontId="64" fillId="0" borderId="34" xfId="101" applyFont="1" applyFill="1" applyBorder="1" applyAlignment="1">
      <alignment wrapText="1"/>
    </xf>
    <xf numFmtId="0" fontId="64" fillId="0" borderId="35" xfId="101" applyFont="1" applyFill="1" applyBorder="1" applyAlignment="1">
      <alignment wrapText="1"/>
    </xf>
    <xf numFmtId="0" fontId="64" fillId="0" borderId="36" xfId="101" applyFont="1" applyFill="1" applyBorder="1" applyAlignment="1">
      <alignment wrapText="1"/>
    </xf>
    <xf numFmtId="0" fontId="64" fillId="0" borderId="37" xfId="101" applyFont="1" applyFill="1" applyBorder="1" applyAlignment="1">
      <alignment wrapText="1"/>
    </xf>
    <xf numFmtId="0" fontId="3" fillId="46" borderId="36" xfId="0" applyFont="1" applyFill="1" applyBorder="1" applyAlignment="1">
      <alignment horizontal="center"/>
    </xf>
    <xf numFmtId="0" fontId="3" fillId="46" borderId="36" xfId="0" applyFont="1" applyFill="1" applyBorder="1"/>
    <xf numFmtId="0" fontId="64" fillId="0" borderId="38" xfId="101" applyFont="1" applyFill="1" applyBorder="1" applyAlignment="1">
      <alignment wrapText="1"/>
    </xf>
    <xf numFmtId="0" fontId="64" fillId="0" borderId="39" xfId="101" applyFont="1" applyFill="1" applyBorder="1" applyAlignment="1">
      <alignment wrapText="1"/>
    </xf>
    <xf numFmtId="0" fontId="64" fillId="0" borderId="40" xfId="101" applyFont="1" applyFill="1" applyBorder="1" applyAlignment="1">
      <alignment wrapText="1"/>
    </xf>
    <xf numFmtId="0" fontId="5" fillId="0" borderId="43" xfId="0" applyFont="1" applyBorder="1"/>
    <xf numFmtId="0" fontId="5" fillId="0" borderId="44" xfId="0" applyFont="1" applyBorder="1"/>
    <xf numFmtId="0" fontId="5" fillId="0" borderId="45" xfId="0" applyFont="1" applyBorder="1"/>
    <xf numFmtId="0" fontId="64" fillId="0" borderId="41" xfId="101" applyFont="1" applyFill="1" applyBorder="1" applyAlignment="1">
      <alignment wrapText="1"/>
    </xf>
    <xf numFmtId="0" fontId="64" fillId="0" borderId="42" xfId="101" applyFont="1" applyFill="1" applyBorder="1" applyAlignment="1">
      <alignment wrapText="1"/>
    </xf>
    <xf numFmtId="14" fontId="0" fillId="0" borderId="6" xfId="0" applyNumberFormat="1" applyBorder="1"/>
    <xf numFmtId="9" fontId="0" fillId="0" borderId="6" xfId="1" applyFont="1" applyBorder="1"/>
    <xf numFmtId="0" fontId="0" fillId="0" borderId="0" xfId="0"/>
    <xf numFmtId="9" fontId="0" fillId="0" borderId="6" xfId="0" applyNumberFormat="1" applyBorder="1"/>
    <xf numFmtId="10" fontId="0" fillId="0" borderId="6" xfId="0" applyNumberFormat="1" applyBorder="1"/>
    <xf numFmtId="0" fontId="45" fillId="45" borderId="6" xfId="0" applyFont="1" applyFill="1" applyBorder="1"/>
    <xf numFmtId="0" fontId="45" fillId="47" borderId="6" xfId="0" applyFont="1" applyFill="1" applyBorder="1"/>
    <xf numFmtId="164" fontId="0" fillId="0" borderId="6" xfId="0" applyNumberFormat="1" applyBorder="1"/>
    <xf numFmtId="10" fontId="0" fillId="0" borderId="6" xfId="1" applyNumberFormat="1" applyFont="1" applyBorder="1"/>
    <xf numFmtId="0" fontId="42" fillId="0" borderId="36" xfId="94" applyFont="1" applyFill="1" applyBorder="1" applyAlignment="1">
      <alignment wrapText="1"/>
    </xf>
    <xf numFmtId="0" fontId="0" fillId="0" borderId="37" xfId="0" applyBorder="1"/>
    <xf numFmtId="10" fontId="42" fillId="0" borderId="36" xfId="94" applyNumberFormat="1" applyFont="1" applyFill="1" applyBorder="1" applyAlignment="1">
      <alignment wrapText="1"/>
    </xf>
    <xf numFmtId="165" fontId="0" fillId="0" borderId="37" xfId="0" applyNumberFormat="1" applyBorder="1"/>
    <xf numFmtId="0" fontId="0" fillId="0" borderId="36" xfId="0" applyBorder="1"/>
    <xf numFmtId="164" fontId="0" fillId="0" borderId="37" xfId="0" applyNumberFormat="1" applyBorder="1"/>
    <xf numFmtId="0" fontId="0" fillId="0" borderId="47" xfId="0" applyBorder="1"/>
    <xf numFmtId="0" fontId="0" fillId="0" borderId="48" xfId="0" applyBorder="1"/>
    <xf numFmtId="165" fontId="0" fillId="0" borderId="48" xfId="0" applyNumberFormat="1" applyBorder="1"/>
    <xf numFmtId="165" fontId="0" fillId="0" borderId="49" xfId="0" applyNumberFormat="1" applyBorder="1"/>
    <xf numFmtId="10" fontId="50" fillId="0" borderId="6" xfId="0" applyNumberFormat="1" applyFont="1" applyBorder="1"/>
    <xf numFmtId="6" fontId="50" fillId="0" borderId="6" xfId="0" applyNumberFormat="1" applyFont="1" applyBorder="1"/>
    <xf numFmtId="10" fontId="50" fillId="0" borderId="6" xfId="0" applyNumberFormat="1" applyFont="1" applyBorder="1" applyAlignment="1">
      <alignment horizontal="center"/>
    </xf>
    <xf numFmtId="14" fontId="0" fillId="0" borderId="6" xfId="0" applyNumberFormat="1" applyFill="1" applyBorder="1"/>
    <xf numFmtId="0" fontId="0" fillId="45" borderId="6" xfId="0" applyFont="1" applyFill="1" applyBorder="1"/>
    <xf numFmtId="0" fontId="0" fillId="47" borderId="6" xfId="0" applyFont="1" applyFill="1" applyBorder="1"/>
    <xf numFmtId="0" fontId="0" fillId="0" borderId="34" xfId="0" applyBorder="1"/>
    <xf numFmtId="14" fontId="0" fillId="0" borderId="46" xfId="0" applyNumberFormat="1" applyFill="1" applyBorder="1"/>
    <xf numFmtId="0" fontId="0" fillId="0" borderId="46" xfId="0" applyBorder="1"/>
    <xf numFmtId="0" fontId="0" fillId="0" borderId="35" xfId="0" applyBorder="1"/>
    <xf numFmtId="0" fontId="0" fillId="45" borderId="36" xfId="0" applyFont="1" applyFill="1" applyBorder="1"/>
    <xf numFmtId="0" fontId="0" fillId="47" borderId="36" xfId="0" applyFont="1" applyFill="1" applyBorder="1"/>
    <xf numFmtId="0" fontId="0" fillId="47" borderId="47" xfId="0" applyFont="1" applyFill="1" applyBorder="1"/>
    <xf numFmtId="0" fontId="45" fillId="47" borderId="48" xfId="0" applyFont="1" applyFill="1" applyBorder="1"/>
    <xf numFmtId="0" fontId="0" fillId="0" borderId="49" xfId="0" applyBorder="1"/>
    <xf numFmtId="14" fontId="0" fillId="0" borderId="22" xfId="0" applyNumberFormat="1" applyFill="1" applyBorder="1"/>
    <xf numFmtId="0" fontId="0" fillId="0" borderId="22" xfId="0" applyBorder="1"/>
    <xf numFmtId="9" fontId="45" fillId="45" borderId="6" xfId="1" applyFont="1" applyFill="1" applyBorder="1"/>
    <xf numFmtId="9" fontId="0" fillId="0" borderId="37" xfId="1" applyFont="1" applyBorder="1"/>
    <xf numFmtId="9" fontId="45" fillId="47" borderId="6" xfId="1" applyFont="1" applyFill="1" applyBorder="1"/>
    <xf numFmtId="9" fontId="45" fillId="47" borderId="48" xfId="1" applyFont="1" applyFill="1" applyBorder="1"/>
    <xf numFmtId="9" fontId="0" fillId="0" borderId="48" xfId="1" applyFont="1" applyBorder="1"/>
    <xf numFmtId="9" fontId="0" fillId="0" borderId="49" xfId="1" applyFont="1" applyBorder="1"/>
    <xf numFmtId="166" fontId="0" fillId="0" borderId="6" xfId="93" applyNumberFormat="1" applyFont="1" applyBorder="1"/>
    <xf numFmtId="166" fontId="0" fillId="0" borderId="37" xfId="93" applyNumberFormat="1" applyFont="1" applyBorder="1"/>
    <xf numFmtId="166" fontId="0" fillId="0" borderId="48" xfId="93" applyNumberFormat="1" applyFont="1" applyBorder="1"/>
    <xf numFmtId="166" fontId="0" fillId="0" borderId="49" xfId="93" applyNumberFormat="1" applyFont="1" applyBorder="1"/>
    <xf numFmtId="14" fontId="0" fillId="0" borderId="37" xfId="0" applyNumberFormat="1" applyBorder="1"/>
    <xf numFmtId="14" fontId="0" fillId="0" borderId="36" xfId="0" applyNumberFormat="1" applyBorder="1"/>
    <xf numFmtId="14" fontId="0" fillId="0" borderId="47" xfId="0" applyNumberFormat="1" applyBorder="1"/>
    <xf numFmtId="9" fontId="0" fillId="47" borderId="6" xfId="0" applyNumberFormat="1" applyFont="1" applyFill="1" applyBorder="1"/>
    <xf numFmtId="9" fontId="0" fillId="45" borderId="6" xfId="0" applyNumberFormat="1" applyFont="1" applyFill="1" applyBorder="1"/>
    <xf numFmtId="10" fontId="45" fillId="45" borderId="6" xfId="0" applyNumberFormat="1" applyFont="1" applyFill="1" applyBorder="1"/>
    <xf numFmtId="165" fontId="0" fillId="45" borderId="6" xfId="0" applyNumberFormat="1" applyFont="1" applyFill="1" applyBorder="1"/>
    <xf numFmtId="165" fontId="0" fillId="47" borderId="6" xfId="0" applyNumberFormat="1" applyFont="1" applyFill="1" applyBorder="1"/>
    <xf numFmtId="165" fontId="45" fillId="45" borderId="6" xfId="0" applyNumberFormat="1" applyFont="1" applyFill="1" applyBorder="1"/>
    <xf numFmtId="2" fontId="0" fillId="0" borderId="0" xfId="0" applyNumberFormat="1"/>
    <xf numFmtId="2" fontId="0" fillId="0" borderId="0" xfId="93" applyNumberFormat="1" applyFont="1" applyFill="1" applyBorder="1"/>
    <xf numFmtId="0" fontId="0" fillId="0" borderId="8" xfId="0" applyFill="1" applyBorder="1"/>
    <xf numFmtId="0" fontId="0" fillId="0" borderId="52" xfId="0" applyBorder="1"/>
    <xf numFmtId="1" fontId="0" fillId="0" borderId="34" xfId="0" applyNumberFormat="1" applyBorder="1"/>
    <xf numFmtId="0" fontId="0" fillId="0" borderId="46" xfId="0" applyFill="1" applyBorder="1"/>
    <xf numFmtId="9" fontId="0" fillId="0" borderId="46" xfId="1" applyFont="1" applyBorder="1"/>
    <xf numFmtId="9" fontId="0" fillId="0" borderId="35" xfId="1" applyFont="1" applyBorder="1"/>
    <xf numFmtId="0" fontId="66" fillId="0" borderId="53" xfId="0" applyFont="1" applyFill="1" applyBorder="1" applyAlignment="1" applyProtection="1">
      <alignment horizontal="left" vertical="center" wrapText="1"/>
    </xf>
    <xf numFmtId="0" fontId="67" fillId="0" borderId="48" xfId="0" applyFont="1" applyBorder="1" applyAlignment="1">
      <alignment horizontal="center" vertical="top" wrapText="1"/>
    </xf>
    <xf numFmtId="0" fontId="67" fillId="0" borderId="49" xfId="0" applyFont="1" applyBorder="1" applyAlignment="1">
      <alignment horizontal="center" vertical="top"/>
    </xf>
    <xf numFmtId="0" fontId="68" fillId="0" borderId="54" xfId="0" applyFont="1" applyBorder="1" applyAlignment="1">
      <alignment horizontal="left" vertical="top" wrapText="1"/>
    </xf>
    <xf numFmtId="0" fontId="46" fillId="0" borderId="0" xfId="94"/>
    <xf numFmtId="0" fontId="70" fillId="0" borderId="0" xfId="0" applyFont="1" applyAlignment="1">
      <alignment wrapText="1"/>
    </xf>
    <xf numFmtId="0" fontId="70" fillId="0" borderId="0" xfId="0" applyNumberFormat="1" applyFont="1"/>
    <xf numFmtId="9" fontId="46" fillId="45" borderId="55" xfId="94" applyNumberFormat="1" applyFont="1" applyFill="1" applyBorder="1"/>
    <xf numFmtId="9" fontId="46" fillId="47" borderId="56" xfId="94" applyNumberFormat="1" applyFont="1" applyFill="1" applyBorder="1"/>
    <xf numFmtId="9" fontId="46" fillId="45" borderId="56" xfId="94" applyNumberFormat="1" applyFont="1" applyFill="1" applyBorder="1"/>
    <xf numFmtId="9" fontId="46" fillId="47" borderId="57" xfId="94" applyNumberFormat="1" applyFont="1" applyFill="1" applyBorder="1"/>
    <xf numFmtId="6" fontId="46" fillId="45" borderId="58" xfId="94" applyNumberFormat="1" applyFont="1" applyFill="1" applyBorder="1"/>
    <xf numFmtId="6" fontId="46" fillId="47" borderId="59" xfId="94" applyNumberFormat="1" applyFont="1" applyFill="1" applyBorder="1"/>
    <xf numFmtId="6" fontId="46" fillId="45" borderId="59" xfId="94" applyNumberFormat="1" applyFont="1" applyFill="1" applyBorder="1"/>
    <xf numFmtId="6" fontId="46" fillId="47" borderId="60" xfId="94" applyNumberFormat="1" applyFont="1" applyFill="1" applyBorder="1"/>
    <xf numFmtId="165" fontId="45" fillId="45" borderId="6" xfId="93" applyNumberFormat="1" applyFont="1" applyFill="1" applyBorder="1"/>
    <xf numFmtId="165" fontId="0" fillId="0" borderId="6" xfId="93" applyNumberFormat="1" applyFont="1" applyBorder="1"/>
    <xf numFmtId="165" fontId="45" fillId="47" borderId="6" xfId="93" applyNumberFormat="1" applyFont="1" applyFill="1" applyBorder="1"/>
    <xf numFmtId="165" fontId="45" fillId="47" borderId="48" xfId="93" applyNumberFormat="1" applyFont="1" applyFill="1" applyBorder="1"/>
    <xf numFmtId="165" fontId="0" fillId="0" borderId="48" xfId="93" applyNumberFormat="1" applyFont="1" applyBorder="1"/>
    <xf numFmtId="10" fontId="73" fillId="6" borderId="6" xfId="0" applyNumberFormat="1" applyFont="1" applyFill="1" applyBorder="1" applyAlignment="1"/>
    <xf numFmtId="3" fontId="54" fillId="0" borderId="0" xfId="0" applyNumberFormat="1" applyFont="1" applyFill="1" applyBorder="1" applyAlignment="1">
      <alignment horizontal="center"/>
    </xf>
    <xf numFmtId="9" fontId="54" fillId="0" borderId="0" xfId="0" applyNumberFormat="1" applyFont="1" applyFill="1" applyBorder="1" applyAlignment="1">
      <alignment horizontal="center"/>
    </xf>
    <xf numFmtId="0" fontId="54" fillId="4" borderId="0" xfId="0" applyFont="1" applyFill="1" applyBorder="1"/>
    <xf numFmtId="0" fontId="8" fillId="0" borderId="0" xfId="0" applyFont="1" applyAlignment="1"/>
    <xf numFmtId="0" fontId="70" fillId="0" borderId="0" xfId="0" applyFont="1" applyAlignment="1">
      <alignment horizontal="center"/>
    </xf>
    <xf numFmtId="0" fontId="0" fillId="45" borderId="55" xfId="0" applyNumberFormat="1" applyFont="1" applyFill="1" applyBorder="1"/>
    <xf numFmtId="0" fontId="0" fillId="47" borderId="56" xfId="0" applyNumberFormat="1" applyFont="1" applyFill="1" applyBorder="1"/>
    <xf numFmtId="0" fontId="0" fillId="45" borderId="56" xfId="0" applyNumberFormat="1" applyFont="1" applyFill="1" applyBorder="1"/>
    <xf numFmtId="0" fontId="0" fillId="47" borderId="57" xfId="0" applyNumberFormat="1" applyFont="1" applyFill="1" applyBorder="1"/>
    <xf numFmtId="0" fontId="0" fillId="45" borderId="58" xfId="0" applyNumberFormat="1" applyFont="1" applyFill="1" applyBorder="1"/>
    <xf numFmtId="0" fontId="0" fillId="47" borderId="59" xfId="0" applyNumberFormat="1" applyFont="1" applyFill="1" applyBorder="1"/>
    <xf numFmtId="0" fontId="0" fillId="45" borderId="59" xfId="0" applyNumberFormat="1" applyFont="1" applyFill="1" applyBorder="1"/>
    <xf numFmtId="0" fontId="0" fillId="47" borderId="60" xfId="0" applyNumberFormat="1" applyFont="1" applyFill="1" applyBorder="1"/>
    <xf numFmtId="0" fontId="0" fillId="47" borderId="55" xfId="0" applyNumberFormat="1" applyFont="1" applyFill="1" applyBorder="1"/>
    <xf numFmtId="0" fontId="0" fillId="47" borderId="58" xfId="0" applyNumberFormat="1" applyFont="1" applyFill="1" applyBorder="1"/>
    <xf numFmtId="9" fontId="0" fillId="47" borderId="55" xfId="1" applyFont="1" applyFill="1" applyBorder="1"/>
    <xf numFmtId="44" fontId="0" fillId="47" borderId="58" xfId="93" applyFont="1" applyFill="1" applyBorder="1"/>
    <xf numFmtId="10" fontId="73" fillId="6" borderId="0" xfId="0" applyNumberFormat="1" applyFont="1" applyFill="1" applyBorder="1" applyAlignment="1"/>
    <xf numFmtId="0" fontId="6" fillId="0" borderId="0" xfId="0" applyFont="1" applyFill="1" applyBorder="1" applyAlignment="1">
      <alignment wrapText="1"/>
    </xf>
    <xf numFmtId="0" fontId="57" fillId="0" borderId="0" xfId="0" applyFont="1" applyBorder="1" applyAlignment="1">
      <alignment wrapText="1"/>
    </xf>
    <xf numFmtId="10" fontId="73" fillId="6" borderId="0" xfId="0" applyNumberFormat="1" applyFont="1" applyFill="1" applyBorder="1" applyAlignment="1">
      <alignment wrapText="1"/>
    </xf>
    <xf numFmtId="10" fontId="55" fillId="6" borderId="0" xfId="0" applyNumberFormat="1" applyFont="1" applyFill="1" applyBorder="1" applyAlignment="1">
      <alignment wrapText="1"/>
    </xf>
    <xf numFmtId="165" fontId="54" fillId="0" borderId="0" xfId="0" applyNumberFormat="1" applyFont="1" applyFill="1" applyBorder="1" applyAlignment="1">
      <alignment horizontal="center"/>
    </xf>
    <xf numFmtId="0" fontId="74" fillId="0" borderId="0" xfId="0" applyFont="1" applyBorder="1" applyAlignment="1">
      <alignment horizontal="center"/>
    </xf>
    <xf numFmtId="0" fontId="57" fillId="4" borderId="0" xfId="0" applyFont="1" applyFill="1" applyBorder="1"/>
    <xf numFmtId="0" fontId="17" fillId="0" borderId="0" xfId="0" applyFont="1" applyBorder="1" applyAlignment="1">
      <alignment wrapText="1"/>
    </xf>
    <xf numFmtId="0" fontId="55" fillId="0" borderId="0" xfId="0" applyFont="1" applyBorder="1" applyAlignment="1">
      <alignment wrapText="1"/>
    </xf>
    <xf numFmtId="0" fontId="57" fillId="0" borderId="0" xfId="0" applyFont="1" applyBorder="1"/>
    <xf numFmtId="10" fontId="56" fillId="48" borderId="0" xfId="0" applyNumberFormat="1" applyFont="1" applyFill="1" applyBorder="1" applyAlignment="1"/>
    <xf numFmtId="0" fontId="57" fillId="2" borderId="0" xfId="0" applyFont="1" applyFill="1" applyBorder="1"/>
    <xf numFmtId="0" fontId="3" fillId="2" borderId="0" xfId="0" applyFont="1" applyFill="1" applyBorder="1" applyAlignment="1">
      <alignment wrapText="1"/>
    </xf>
    <xf numFmtId="0" fontId="57" fillId="2" borderId="0" xfId="0" applyFont="1" applyFill="1" applyBorder="1" applyAlignment="1">
      <alignment wrapText="1"/>
    </xf>
    <xf numFmtId="10" fontId="56" fillId="48" borderId="0" xfId="0" applyNumberFormat="1" applyFont="1" applyFill="1" applyBorder="1" applyAlignment="1">
      <alignment horizontal="center" wrapText="1"/>
    </xf>
    <xf numFmtId="10" fontId="14" fillId="48" borderId="0" xfId="0" applyNumberFormat="1" applyFont="1" applyFill="1" applyBorder="1" applyAlignment="1">
      <alignment horizontal="center" wrapText="1"/>
    </xf>
    <xf numFmtId="10" fontId="14" fillId="48" borderId="0" xfId="0" applyNumberFormat="1" applyFont="1" applyFill="1" applyBorder="1" applyAlignment="1">
      <alignment wrapText="1"/>
    </xf>
    <xf numFmtId="0" fontId="42" fillId="0" borderId="6" xfId="0" applyFont="1" applyBorder="1" applyAlignment="1"/>
    <xf numFmtId="0" fontId="0" fillId="4" borderId="6" xfId="0" applyFont="1" applyFill="1" applyBorder="1"/>
    <xf numFmtId="0" fontId="0" fillId="0" borderId="0" xfId="0" applyFont="1"/>
    <xf numFmtId="0" fontId="6" fillId="4" borderId="6" xfId="0" applyFont="1" applyFill="1" applyBorder="1" applyAlignment="1">
      <alignment horizontal="left"/>
    </xf>
    <xf numFmtId="0" fontId="0" fillId="2" borderId="0" xfId="0" applyFont="1" applyFill="1" applyBorder="1"/>
    <xf numFmtId="10" fontId="14" fillId="0" borderId="6" xfId="0" applyNumberFormat="1" applyFont="1" applyFill="1" applyBorder="1" applyAlignment="1">
      <alignment horizontal="left"/>
    </xf>
    <xf numFmtId="3" fontId="6" fillId="0" borderId="6" xfId="0" applyNumberFormat="1" applyFont="1" applyFill="1" applyBorder="1" applyAlignment="1">
      <alignment horizontal="left" wrapText="1"/>
    </xf>
    <xf numFmtId="0" fontId="14" fillId="0" borderId="6" xfId="0" applyFont="1" applyFill="1" applyBorder="1" applyAlignment="1">
      <alignment horizontal="left"/>
    </xf>
    <xf numFmtId="3" fontId="0" fillId="0" borderId="0" xfId="0" applyNumberFormat="1" applyFont="1"/>
    <xf numFmtId="0" fontId="16" fillId="0" borderId="6" xfId="3" applyFont="1" applyFill="1" applyBorder="1" applyAlignment="1" applyProtection="1">
      <alignment horizontal="left" wrapText="1"/>
    </xf>
    <xf numFmtId="0" fontId="16" fillId="0" borderId="6" xfId="3" applyFont="1" applyBorder="1" applyAlignment="1" applyProtection="1">
      <alignment horizontal="left" wrapText="1"/>
    </xf>
    <xf numFmtId="0" fontId="14" fillId="0" borderId="6" xfId="0" applyFont="1" applyFill="1" applyBorder="1" applyAlignment="1">
      <alignment horizontal="left" wrapText="1"/>
    </xf>
    <xf numFmtId="9" fontId="6" fillId="0" borderId="6" xfId="0" applyNumberFormat="1" applyFont="1" applyBorder="1" applyAlignment="1">
      <alignment horizontal="left" wrapText="1"/>
    </xf>
    <xf numFmtId="10" fontId="14" fillId="0" borderId="6" xfId="0" applyNumberFormat="1" applyFont="1" applyFill="1" applyBorder="1" applyAlignment="1">
      <alignment horizontal="left" wrapText="1"/>
    </xf>
    <xf numFmtId="0" fontId="0" fillId="0" borderId="0" xfId="0" applyFont="1" applyFill="1" applyBorder="1"/>
    <xf numFmtId="0" fontId="16" fillId="0" borderId="6" xfId="3" applyFont="1" applyFill="1" applyBorder="1" applyAlignment="1" applyProtection="1">
      <alignment horizontal="left" vertical="center" wrapText="1"/>
    </xf>
    <xf numFmtId="0" fontId="16" fillId="0" borderId="29" xfId="3" applyFont="1" applyFill="1" applyBorder="1" applyAlignment="1" applyProtection="1">
      <alignment vertical="center" wrapText="1"/>
    </xf>
    <xf numFmtId="3" fontId="0" fillId="0" borderId="0" xfId="0" applyNumberFormat="1" applyFont="1" applyFill="1" applyBorder="1"/>
    <xf numFmtId="165" fontId="0" fillId="0" borderId="0" xfId="0" applyNumberFormat="1" applyFont="1" applyFill="1" applyBorder="1"/>
    <xf numFmtId="10" fontId="14" fillId="0" borderId="1" xfId="0" applyNumberFormat="1" applyFont="1" applyFill="1" applyBorder="1" applyAlignment="1">
      <alignment horizontal="center" wrapText="1"/>
    </xf>
    <xf numFmtId="0" fontId="6" fillId="0" borderId="3" xfId="0" applyFont="1" applyFill="1" applyBorder="1" applyAlignment="1">
      <alignment wrapText="1"/>
    </xf>
    <xf numFmtId="3" fontId="14" fillId="41" borderId="1" xfId="0" applyNumberFormat="1" applyFont="1" applyFill="1" applyBorder="1" applyAlignment="1">
      <alignment vertical="center" wrapText="1"/>
    </xf>
    <xf numFmtId="10" fontId="14" fillId="0" borderId="0" xfId="0" applyNumberFormat="1" applyFont="1" applyFill="1" applyBorder="1" applyAlignment="1">
      <alignment wrapText="1"/>
    </xf>
    <xf numFmtId="0" fontId="14" fillId="0" borderId="0" xfId="0" applyFont="1" applyFill="1" applyBorder="1" applyAlignment="1">
      <alignment wrapText="1"/>
    </xf>
    <xf numFmtId="0" fontId="0" fillId="0" borderId="0" xfId="0" applyFont="1" applyFill="1" applyBorder="1" applyAlignment="1">
      <alignment wrapText="1"/>
    </xf>
    <xf numFmtId="0" fontId="6" fillId="4" borderId="7" xfId="0" applyFont="1" applyFill="1" applyBorder="1" applyAlignment="1">
      <alignment horizontal="left"/>
    </xf>
    <xf numFmtId="0" fontId="3" fillId="0" borderId="0" xfId="0" applyFont="1" applyFill="1" applyBorder="1" applyAlignment="1">
      <alignment horizontal="center" wrapText="1"/>
    </xf>
    <xf numFmtId="10" fontId="3" fillId="0" borderId="0" xfId="0" applyNumberFormat="1" applyFont="1" applyFill="1" applyBorder="1" applyAlignment="1">
      <alignment horizontal="center" wrapText="1"/>
    </xf>
    <xf numFmtId="3" fontId="0" fillId="0" borderId="0" xfId="0" applyNumberFormat="1" applyFont="1" applyFill="1" applyBorder="1" applyAlignment="1">
      <alignment horizontal="center"/>
    </xf>
    <xf numFmtId="9" fontId="6" fillId="0" borderId="6" xfId="0" applyNumberFormat="1" applyFont="1" applyFill="1" applyBorder="1" applyAlignment="1">
      <alignment horizontal="left" wrapText="1"/>
    </xf>
    <xf numFmtId="3" fontId="6" fillId="0" borderId="0" xfId="0" applyNumberFormat="1" applyFont="1" applyFill="1" applyBorder="1" applyAlignment="1">
      <alignment horizontal="center"/>
    </xf>
    <xf numFmtId="9" fontId="6" fillId="0" borderId="6" xfId="1" applyFont="1" applyFill="1" applyBorder="1" applyAlignment="1">
      <alignment horizontal="left" wrapText="1"/>
    </xf>
    <xf numFmtId="3" fontId="22" fillId="0" borderId="0" xfId="0" applyNumberFormat="1" applyFont="1" applyFill="1" applyBorder="1" applyAlignment="1">
      <alignment horizontal="center"/>
    </xf>
    <xf numFmtId="9" fontId="77" fillId="0" borderId="0" xfId="0" applyNumberFormat="1" applyFont="1" applyFill="1" applyBorder="1" applyAlignment="1" applyProtection="1">
      <alignment horizontal="right"/>
      <protection locked="0" hidden="1"/>
    </xf>
    <xf numFmtId="0" fontId="54" fillId="4" borderId="0" xfId="0" applyFont="1" applyFill="1" applyBorder="1" applyProtection="1">
      <protection locked="0" hidden="1"/>
    </xf>
    <xf numFmtId="10" fontId="56" fillId="48" borderId="0" xfId="0" applyNumberFormat="1" applyFont="1" applyFill="1" applyBorder="1" applyAlignment="1" applyProtection="1">
      <protection locked="0" hidden="1"/>
    </xf>
    <xf numFmtId="10" fontId="56" fillId="48" borderId="0" xfId="0" applyNumberFormat="1" applyFont="1" applyFill="1" applyBorder="1" applyAlignment="1" applyProtection="1">
      <alignment horizontal="center" wrapText="1"/>
      <protection locked="0" hidden="1"/>
    </xf>
    <xf numFmtId="9" fontId="54" fillId="0" borderId="0" xfId="0" applyNumberFormat="1" applyFont="1" applyFill="1" applyBorder="1" applyAlignment="1" applyProtection="1">
      <alignment horizontal="center" wrapText="1"/>
      <protection locked="0" hidden="1"/>
    </xf>
    <xf numFmtId="10" fontId="14" fillId="48" borderId="0" xfId="0" applyNumberFormat="1" applyFont="1" applyFill="1" applyBorder="1" applyAlignment="1" applyProtection="1">
      <alignment horizontal="center" wrapText="1"/>
      <protection locked="0" hidden="1"/>
    </xf>
    <xf numFmtId="0" fontId="56" fillId="4" borderId="0" xfId="0" applyFont="1" applyFill="1" applyBorder="1" applyProtection="1">
      <protection locked="0" hidden="1"/>
    </xf>
    <xf numFmtId="9" fontId="53" fillId="0" borderId="0" xfId="0" applyNumberFormat="1" applyFont="1" applyFill="1" applyBorder="1" applyAlignment="1" applyProtection="1">
      <alignment vertical="center" wrapText="1"/>
      <protection locked="0" hidden="1"/>
    </xf>
    <xf numFmtId="9" fontId="53" fillId="0" borderId="0" xfId="0" applyNumberFormat="1" applyFont="1" applyFill="1" applyBorder="1" applyAlignment="1" applyProtection="1">
      <alignment horizontal="right" wrapText="1"/>
      <protection locked="0" hidden="1"/>
    </xf>
    <xf numFmtId="0" fontId="2" fillId="5" borderId="1" xfId="0" applyFont="1" applyFill="1" applyBorder="1" applyAlignment="1">
      <alignment wrapText="1"/>
    </xf>
    <xf numFmtId="0" fontId="75" fillId="5" borderId="0" xfId="0" applyFont="1" applyFill="1" applyBorder="1" applyAlignment="1">
      <alignment wrapText="1"/>
    </xf>
    <xf numFmtId="3" fontId="75" fillId="5" borderId="0" xfId="0" applyNumberFormat="1" applyFont="1" applyFill="1" applyBorder="1" applyAlignment="1">
      <alignment wrapText="1"/>
    </xf>
    <xf numFmtId="10" fontId="2" fillId="5" borderId="3" xfId="0" applyNumberFormat="1" applyFont="1" applyFill="1" applyBorder="1" applyAlignment="1">
      <alignment wrapText="1"/>
    </xf>
    <xf numFmtId="0" fontId="75" fillId="5" borderId="0" xfId="0" applyFont="1" applyFill="1" applyBorder="1"/>
    <xf numFmtId="0" fontId="73" fillId="5" borderId="0" xfId="0" applyFont="1" applyFill="1" applyBorder="1"/>
    <xf numFmtId="9" fontId="75" fillId="5" borderId="0" xfId="0" applyNumberFormat="1" applyFont="1" applyFill="1" applyBorder="1" applyAlignment="1">
      <alignment wrapText="1"/>
    </xf>
    <xf numFmtId="3" fontId="75" fillId="5" borderId="3" xfId="1" applyNumberFormat="1" applyFont="1" applyFill="1" applyBorder="1" applyAlignment="1">
      <alignment wrapText="1"/>
    </xf>
    <xf numFmtId="0" fontId="73" fillId="5" borderId="0" xfId="0" applyFont="1" applyFill="1" applyBorder="1" applyAlignment="1"/>
    <xf numFmtId="0" fontId="2" fillId="5" borderId="0" xfId="4" applyFont="1" applyFill="1" applyBorder="1" applyAlignment="1">
      <alignment wrapText="1"/>
    </xf>
    <xf numFmtId="9" fontId="75" fillId="5" borderId="3" xfId="0" applyNumberFormat="1" applyFont="1" applyFill="1" applyBorder="1" applyAlignment="1">
      <alignment wrapText="1"/>
    </xf>
    <xf numFmtId="10" fontId="2" fillId="5" borderId="0" xfId="0" applyNumberFormat="1" applyFont="1" applyFill="1" applyBorder="1" applyAlignment="1">
      <alignment horizontal="center"/>
    </xf>
    <xf numFmtId="3" fontId="75" fillId="5" borderId="0" xfId="0" applyNumberFormat="1" applyFont="1" applyFill="1" applyBorder="1"/>
    <xf numFmtId="10" fontId="75" fillId="5" borderId="0" xfId="0" applyNumberFormat="1" applyFont="1" applyFill="1" applyBorder="1" applyAlignment="1">
      <alignment wrapText="1"/>
    </xf>
    <xf numFmtId="0" fontId="75" fillId="5" borderId="8" xfId="0" applyFont="1" applyFill="1" applyBorder="1"/>
    <xf numFmtId="0" fontId="2" fillId="5" borderId="30" xfId="4" applyFont="1" applyFill="1" applyBorder="1" applyAlignment="1">
      <alignment wrapText="1"/>
    </xf>
    <xf numFmtId="9" fontId="75" fillId="5" borderId="30" xfId="0" applyNumberFormat="1" applyFont="1" applyFill="1" applyBorder="1" applyAlignment="1">
      <alignment wrapText="1"/>
    </xf>
    <xf numFmtId="9" fontId="2" fillId="5" borderId="30" xfId="4" applyNumberFormat="1" applyFont="1" applyFill="1" applyBorder="1" applyAlignment="1">
      <alignment wrapText="1"/>
    </xf>
    <xf numFmtId="9" fontId="75" fillId="5" borderId="32" xfId="0" applyNumberFormat="1" applyFont="1" applyFill="1" applyBorder="1" applyAlignment="1">
      <alignment wrapText="1"/>
    </xf>
    <xf numFmtId="0" fontId="72" fillId="5" borderId="0" xfId="0" applyFont="1" applyFill="1" applyAlignment="1">
      <alignment wrapText="1"/>
    </xf>
    <xf numFmtId="0" fontId="75" fillId="5" borderId="22" xfId="0" applyFont="1" applyFill="1" applyBorder="1"/>
    <xf numFmtId="10" fontId="14" fillId="48" borderId="0" xfId="0" applyNumberFormat="1" applyFont="1" applyFill="1" applyBorder="1" applyAlignment="1"/>
    <xf numFmtId="10" fontId="13" fillId="48" borderId="0" xfId="0" applyNumberFormat="1" applyFont="1" applyFill="1" applyBorder="1" applyAlignment="1" applyProtection="1">
      <protection locked="0" hidden="1"/>
    </xf>
    <xf numFmtId="10" fontId="42" fillId="0" borderId="0" xfId="0" applyNumberFormat="1" applyFont="1" applyFill="1" applyBorder="1" applyProtection="1">
      <protection locked="0" hidden="1"/>
    </xf>
    <xf numFmtId="3" fontId="42" fillId="0" borderId="10" xfId="0" applyNumberFormat="1" applyFont="1" applyFill="1" applyBorder="1" applyAlignment="1" applyProtection="1">
      <alignment horizontal="right"/>
      <protection locked="0" hidden="1"/>
    </xf>
    <xf numFmtId="9" fontId="63" fillId="0" borderId="0" xfId="0" applyNumberFormat="1" applyFont="1" applyFill="1" applyBorder="1" applyAlignment="1" applyProtection="1">
      <alignment horizontal="right"/>
      <protection locked="0" hidden="1"/>
    </xf>
    <xf numFmtId="0" fontId="42" fillId="4" borderId="0" xfId="0" applyFont="1" applyFill="1" applyBorder="1" applyAlignment="1" applyProtection="1">
      <alignment wrapText="1"/>
      <protection locked="0" hidden="1"/>
    </xf>
    <xf numFmtId="0" fontId="42" fillId="0" borderId="0" xfId="0" applyFont="1" applyFill="1" applyBorder="1" applyAlignment="1" applyProtection="1">
      <alignment wrapText="1"/>
      <protection locked="0" hidden="1"/>
    </xf>
    <xf numFmtId="3" fontId="42" fillId="0" borderId="0" xfId="0" applyNumberFormat="1" applyFont="1" applyFill="1" applyBorder="1" applyAlignment="1" applyProtection="1">
      <alignment horizontal="right" wrapText="1"/>
      <protection locked="0" hidden="1"/>
    </xf>
    <xf numFmtId="9" fontId="42" fillId="0" borderId="0" xfId="1" applyFont="1" applyFill="1" applyBorder="1" applyAlignment="1" applyProtection="1">
      <alignment horizontal="right" wrapText="1"/>
      <protection locked="0" hidden="1"/>
    </xf>
    <xf numFmtId="164" fontId="42" fillId="0" borderId="0" xfId="0" applyNumberFormat="1" applyFont="1" applyFill="1" applyBorder="1" applyAlignment="1" applyProtection="1">
      <alignment horizontal="right" wrapText="1"/>
      <protection locked="0" hidden="1"/>
    </xf>
    <xf numFmtId="0" fontId="42" fillId="2" borderId="0" xfId="0" applyFont="1" applyFill="1" applyBorder="1" applyProtection="1">
      <protection locked="0" hidden="1"/>
    </xf>
    <xf numFmtId="3" fontId="42" fillId="2" borderId="10" xfId="0" applyNumberFormat="1" applyFont="1" applyFill="1" applyBorder="1" applyAlignment="1" applyProtection="1">
      <alignment horizontal="right"/>
      <protection locked="0" hidden="1"/>
    </xf>
    <xf numFmtId="9" fontId="42" fillId="2" borderId="0" xfId="0" applyNumberFormat="1" applyFont="1" applyFill="1" applyBorder="1" applyAlignment="1" applyProtection="1">
      <alignment horizontal="right"/>
      <protection locked="0" hidden="1"/>
    </xf>
    <xf numFmtId="0" fontId="42" fillId="4" borderId="0" xfId="0" applyFont="1" applyFill="1" applyBorder="1" applyProtection="1">
      <protection locked="0" hidden="1"/>
    </xf>
    <xf numFmtId="0" fontId="42" fillId="2" borderId="0" xfId="0" applyFont="1" applyFill="1" applyBorder="1" applyAlignment="1" applyProtection="1">
      <alignment wrapText="1"/>
      <protection locked="0" hidden="1"/>
    </xf>
    <xf numFmtId="3" fontId="42" fillId="2" borderId="0" xfId="0" applyNumberFormat="1" applyFont="1" applyFill="1" applyBorder="1" applyAlignment="1" applyProtection="1">
      <alignment horizontal="right" wrapText="1"/>
      <protection locked="0" hidden="1"/>
    </xf>
    <xf numFmtId="9" fontId="42" fillId="2" borderId="0" xfId="1" applyFont="1" applyFill="1" applyBorder="1" applyAlignment="1" applyProtection="1">
      <alignment horizontal="right" wrapText="1"/>
      <protection locked="0" hidden="1"/>
    </xf>
    <xf numFmtId="164" fontId="42" fillId="2" borderId="0" xfId="0" applyNumberFormat="1" applyFont="1" applyFill="1" applyBorder="1" applyAlignment="1" applyProtection="1">
      <alignment horizontal="right" wrapText="1"/>
      <protection locked="0" hidden="1"/>
    </xf>
    <xf numFmtId="0" fontId="42" fillId="0" borderId="0" xfId="0" applyFont="1" applyFill="1" applyBorder="1" applyProtection="1">
      <protection locked="0" hidden="1"/>
    </xf>
    <xf numFmtId="9" fontId="42" fillId="0" borderId="0" xfId="0" applyNumberFormat="1" applyFont="1" applyFill="1" applyBorder="1" applyAlignment="1" applyProtection="1">
      <alignment horizontal="right"/>
      <protection locked="0" hidden="1"/>
    </xf>
    <xf numFmtId="10" fontId="13" fillId="48" borderId="0" xfId="0" applyNumberFormat="1" applyFont="1" applyFill="1" applyBorder="1" applyAlignment="1" applyProtection="1">
      <alignment wrapText="1"/>
      <protection locked="0" hidden="1"/>
    </xf>
    <xf numFmtId="1" fontId="42" fillId="0" borderId="10" xfId="0" applyNumberFormat="1" applyFont="1" applyFill="1" applyBorder="1" applyAlignment="1" applyProtection="1">
      <alignment horizontal="right"/>
      <protection locked="0" hidden="1"/>
    </xf>
    <xf numFmtId="0" fontId="42" fillId="5" borderId="0" xfId="0" applyFont="1" applyFill="1" applyBorder="1" applyAlignment="1" applyProtection="1">
      <alignment horizontal="left" wrapText="1"/>
      <protection locked="0" hidden="1"/>
    </xf>
    <xf numFmtId="3" fontId="42" fillId="5" borderId="10" xfId="0" applyNumberFormat="1" applyFont="1" applyFill="1" applyBorder="1" applyAlignment="1" applyProtection="1">
      <alignment horizontal="right" wrapText="1"/>
      <protection locked="0" hidden="1"/>
    </xf>
    <xf numFmtId="10" fontId="13" fillId="48" borderId="0" xfId="0" applyNumberFormat="1" applyFont="1" applyFill="1" applyBorder="1" applyAlignment="1" applyProtection="1">
      <alignment horizontal="center" wrapText="1"/>
      <protection locked="0" hidden="1"/>
    </xf>
    <xf numFmtId="3" fontId="42" fillId="0" borderId="10" xfId="0" applyNumberFormat="1" applyFont="1" applyFill="1" applyBorder="1" applyAlignment="1" applyProtection="1">
      <alignment horizontal="right" wrapText="1"/>
      <protection locked="0" hidden="1"/>
    </xf>
    <xf numFmtId="9" fontId="42" fillId="0" borderId="0" xfId="0" applyNumberFormat="1" applyFont="1" applyFill="1" applyBorder="1" applyAlignment="1" applyProtection="1">
      <alignment horizontal="right" wrapText="1"/>
      <protection locked="0" hidden="1"/>
    </xf>
    <xf numFmtId="5" fontId="42" fillId="0" borderId="0" xfId="93" applyNumberFormat="1" applyFont="1" applyFill="1" applyBorder="1" applyAlignment="1" applyProtection="1">
      <alignment horizontal="right" wrapText="1"/>
      <protection locked="0" hidden="1"/>
    </xf>
    <xf numFmtId="37" fontId="42" fillId="0" borderId="0" xfId="93" applyNumberFormat="1" applyFont="1" applyFill="1" applyBorder="1" applyAlignment="1" applyProtection="1">
      <alignment horizontal="right" wrapText="1"/>
      <protection locked="0" hidden="1"/>
    </xf>
    <xf numFmtId="165" fontId="42" fillId="0" borderId="0" xfId="0" applyNumberFormat="1" applyFont="1" applyFill="1" applyBorder="1" applyAlignment="1" applyProtection="1">
      <alignment horizontal="right" wrapText="1"/>
      <protection locked="0" hidden="1"/>
    </xf>
    <xf numFmtId="10" fontId="42" fillId="2" borderId="0" xfId="0" applyNumberFormat="1" applyFont="1" applyFill="1" applyBorder="1" applyAlignment="1" applyProtection="1">
      <protection locked="0" hidden="1"/>
    </xf>
    <xf numFmtId="9" fontId="42" fillId="2" borderId="0" xfId="0" applyNumberFormat="1" applyFont="1" applyFill="1" applyBorder="1" applyAlignment="1" applyProtection="1">
      <alignment horizontal="right" wrapText="1"/>
      <protection locked="0" hidden="1"/>
    </xf>
    <xf numFmtId="5" fontId="42" fillId="2" borderId="0" xfId="93" applyNumberFormat="1" applyFont="1" applyFill="1" applyBorder="1" applyAlignment="1" applyProtection="1">
      <alignment horizontal="right" wrapText="1"/>
      <protection locked="0" hidden="1"/>
    </xf>
    <xf numFmtId="37" fontId="42" fillId="2" borderId="0" xfId="93" applyNumberFormat="1" applyFont="1" applyFill="1" applyBorder="1" applyAlignment="1" applyProtection="1">
      <alignment horizontal="right" wrapText="1"/>
      <protection locked="0" hidden="1"/>
    </xf>
    <xf numFmtId="165" fontId="42" fillId="2" borderId="0" xfId="0" applyNumberFormat="1" applyFont="1" applyFill="1" applyBorder="1" applyAlignment="1" applyProtection="1">
      <alignment horizontal="right" wrapText="1"/>
      <protection locked="0" hidden="1"/>
    </xf>
    <xf numFmtId="10" fontId="42" fillId="0" borderId="0" xfId="0" applyNumberFormat="1" applyFont="1" applyFill="1" applyBorder="1" applyAlignment="1" applyProtection="1">
      <alignment wrapText="1"/>
      <protection locked="0" hidden="1"/>
    </xf>
    <xf numFmtId="3" fontId="42" fillId="0" borderId="0" xfId="0" applyNumberFormat="1" applyFont="1" applyFill="1" applyBorder="1" applyAlignment="1" applyProtection="1">
      <alignment horizontal="right"/>
      <protection locked="0" hidden="1"/>
    </xf>
    <xf numFmtId="3" fontId="42" fillId="2" borderId="0" xfId="0" applyNumberFormat="1" applyFont="1" applyFill="1" applyBorder="1" applyAlignment="1" applyProtection="1">
      <alignment horizontal="right"/>
      <protection locked="0" hidden="1"/>
    </xf>
    <xf numFmtId="0" fontId="42" fillId="2" borderId="0" xfId="0" applyFont="1" applyFill="1" applyBorder="1" applyAlignment="1" applyProtection="1">
      <alignment horizontal="left" wrapText="1"/>
      <protection locked="0" hidden="1"/>
    </xf>
    <xf numFmtId="0" fontId="42" fillId="0" borderId="0" xfId="0" applyFont="1" applyFill="1" applyBorder="1" applyAlignment="1" applyProtection="1">
      <protection locked="0" hidden="1"/>
    </xf>
    <xf numFmtId="0" fontId="42" fillId="2" borderId="0" xfId="0" applyFont="1" applyFill="1" applyBorder="1" applyAlignment="1" applyProtection="1">
      <protection locked="0" hidden="1"/>
    </xf>
    <xf numFmtId="3" fontId="42" fillId="0" borderId="0" xfId="0" applyNumberFormat="1" applyFont="1" applyFill="1" applyBorder="1" applyAlignment="1" applyProtection="1">
      <alignment wrapText="1"/>
      <protection locked="0" hidden="1"/>
    </xf>
    <xf numFmtId="3" fontId="42" fillId="2" borderId="0" xfId="0" applyNumberFormat="1" applyFont="1" applyFill="1" applyBorder="1" applyAlignment="1" applyProtection="1">
      <alignment wrapText="1"/>
      <protection locked="0" hidden="1"/>
    </xf>
    <xf numFmtId="9" fontId="42" fillId="0" borderId="10" xfId="0" applyNumberFormat="1" applyFont="1" applyFill="1" applyBorder="1" applyAlignment="1" applyProtection="1">
      <alignment horizontal="right"/>
      <protection locked="0" hidden="1"/>
    </xf>
    <xf numFmtId="9" fontId="42" fillId="2" borderId="10" xfId="1" applyFont="1" applyFill="1" applyBorder="1" applyAlignment="1" applyProtection="1">
      <alignment horizontal="right"/>
      <protection locked="0" hidden="1"/>
    </xf>
    <xf numFmtId="9" fontId="42" fillId="2" borderId="0" xfId="1" applyFont="1" applyFill="1" applyBorder="1" applyAlignment="1" applyProtection="1">
      <alignment horizontal="right"/>
      <protection locked="0" hidden="1"/>
    </xf>
    <xf numFmtId="164" fontId="42" fillId="2" borderId="0" xfId="0" applyNumberFormat="1" applyFont="1" applyFill="1" applyBorder="1" applyAlignment="1" applyProtection="1">
      <alignment wrapText="1"/>
      <protection locked="0" hidden="1"/>
    </xf>
    <xf numFmtId="166" fontId="42" fillId="0" borderId="10" xfId="1" applyNumberFormat="1" applyFont="1" applyFill="1" applyBorder="1" applyAlignment="1" applyProtection="1">
      <alignment horizontal="right"/>
      <protection locked="0" hidden="1"/>
    </xf>
    <xf numFmtId="166" fontId="42" fillId="0" borderId="0" xfId="1" applyNumberFormat="1" applyFont="1" applyFill="1" applyBorder="1" applyAlignment="1" applyProtection="1">
      <alignment horizontal="right"/>
      <protection locked="0" hidden="1"/>
    </xf>
    <xf numFmtId="164" fontId="42" fillId="0" borderId="0" xfId="0" applyNumberFormat="1" applyFont="1" applyFill="1" applyBorder="1" applyAlignment="1" applyProtection="1">
      <alignment wrapText="1"/>
      <protection locked="0" hidden="1"/>
    </xf>
    <xf numFmtId="166" fontId="42" fillId="2" borderId="10" xfId="1" applyNumberFormat="1" applyFont="1" applyFill="1" applyBorder="1" applyAlignment="1" applyProtection="1">
      <alignment horizontal="right"/>
      <protection locked="0" hidden="1"/>
    </xf>
    <xf numFmtId="166" fontId="42" fillId="2" borderId="0" xfId="1" applyNumberFormat="1" applyFont="1" applyFill="1" applyBorder="1" applyAlignment="1" applyProtection="1">
      <alignment horizontal="right"/>
      <protection locked="0" hidden="1"/>
    </xf>
    <xf numFmtId="165" fontId="42" fillId="0" borderId="5" xfId="0" applyNumberFormat="1" applyFont="1" applyBorder="1" applyAlignment="1" applyProtection="1">
      <alignment wrapText="1"/>
      <protection locked="0" hidden="1"/>
    </xf>
    <xf numFmtId="0" fontId="42" fillId="0" borderId="1" xfId="0" applyFont="1" applyBorder="1" applyAlignment="1" applyProtection="1">
      <alignment wrapText="1"/>
      <protection locked="0" hidden="1"/>
    </xf>
    <xf numFmtId="9" fontId="42" fillId="0" borderId="0" xfId="0" applyNumberFormat="1" applyFont="1" applyFill="1" applyBorder="1" applyAlignment="1" applyProtection="1">
      <alignment horizontal="center" wrapText="1"/>
      <protection locked="0" hidden="1"/>
    </xf>
    <xf numFmtId="0" fontId="42" fillId="2" borderId="1" xfId="0" applyFont="1" applyFill="1" applyBorder="1" applyAlignment="1" applyProtection="1">
      <alignment vertical="center" wrapText="1"/>
      <protection locked="0" hidden="1"/>
    </xf>
    <xf numFmtId="4" fontId="42" fillId="2" borderId="10" xfId="0" applyNumberFormat="1" applyFont="1" applyFill="1" applyBorder="1" applyAlignment="1" applyProtection="1">
      <alignment horizontal="right"/>
      <protection locked="0" hidden="1"/>
    </xf>
    <xf numFmtId="9" fontId="42" fillId="2" borderId="0" xfId="0" applyNumberFormat="1" applyFont="1" applyFill="1" applyBorder="1" applyAlignment="1" applyProtection="1">
      <alignment horizontal="center" wrapText="1"/>
      <protection locked="0" hidden="1"/>
    </xf>
    <xf numFmtId="0" fontId="42" fillId="0" borderId="1" xfId="0" applyFont="1" applyFill="1" applyBorder="1" applyAlignment="1" applyProtection="1">
      <alignment vertical="center" wrapText="1"/>
      <protection locked="0" hidden="1"/>
    </xf>
    <xf numFmtId="0" fontId="42" fillId="0" borderId="0" xfId="0" applyFont="1" applyBorder="1" applyProtection="1">
      <protection locked="0" hidden="1"/>
    </xf>
    <xf numFmtId="9" fontId="42" fillId="0" borderId="10" xfId="0" applyNumberFormat="1" applyFont="1" applyBorder="1" applyAlignment="1" applyProtection="1">
      <alignment horizontal="right"/>
      <protection locked="0" hidden="1"/>
    </xf>
    <xf numFmtId="0" fontId="42" fillId="2" borderId="0" xfId="0" applyFont="1" applyFill="1" applyBorder="1" applyAlignment="1" applyProtection="1">
      <alignment vertical="center" wrapText="1"/>
      <protection locked="0" hidden="1"/>
    </xf>
    <xf numFmtId="168" fontId="42" fillId="2" borderId="10" xfId="0" applyNumberFormat="1" applyFont="1" applyFill="1" applyBorder="1" applyAlignment="1" applyProtection="1">
      <alignment horizontal="right" vertical="center" wrapText="1"/>
      <protection locked="0" hidden="1"/>
    </xf>
    <xf numFmtId="9" fontId="4" fillId="2" borderId="0" xfId="0" applyNumberFormat="1" applyFont="1" applyFill="1" applyBorder="1" applyAlignment="1" applyProtection="1">
      <alignment vertical="center" wrapText="1"/>
      <protection locked="0" hidden="1"/>
    </xf>
    <xf numFmtId="3" fontId="42" fillId="0" borderId="10" xfId="0" applyNumberFormat="1" applyFont="1" applyBorder="1" applyAlignment="1" applyProtection="1">
      <alignment horizontal="right"/>
      <protection locked="0" hidden="1"/>
    </xf>
    <xf numFmtId="166" fontId="42" fillId="2" borderId="10" xfId="0" applyNumberFormat="1" applyFont="1" applyFill="1" applyBorder="1" applyAlignment="1" applyProtection="1">
      <alignment horizontal="right"/>
      <protection locked="0" hidden="1"/>
    </xf>
    <xf numFmtId="166" fontId="42" fillId="0" borderId="10" xfId="0" applyNumberFormat="1" applyFont="1" applyBorder="1" applyAlignment="1" applyProtection="1">
      <alignment horizontal="right"/>
      <protection locked="0" hidden="1"/>
    </xf>
    <xf numFmtId="0" fontId="11" fillId="0" borderId="0" xfId="2"/>
    <xf numFmtId="49" fontId="82" fillId="0" borderId="0" xfId="0" applyNumberFormat="1" applyFont="1"/>
    <xf numFmtId="1" fontId="83" fillId="0" borderId="0" xfId="49" applyNumberFormat="1" applyFont="1"/>
    <xf numFmtId="167" fontId="83" fillId="0" borderId="0" xfId="49" applyNumberFormat="1" applyFont="1"/>
    <xf numFmtId="49" fontId="84" fillId="0" borderId="0" xfId="49" applyNumberFormat="1" applyFont="1" applyBorder="1" applyAlignment="1" applyProtection="1">
      <alignment horizontal="center"/>
    </xf>
    <xf numFmtId="1" fontId="85" fillId="0" borderId="6" xfId="49" applyNumberFormat="1" applyFont="1" applyBorder="1" applyAlignment="1">
      <alignment horizontal="center" wrapText="1"/>
    </xf>
    <xf numFmtId="1" fontId="85" fillId="0" borderId="7" xfId="49" applyNumberFormat="1" applyFont="1" applyBorder="1" applyAlignment="1">
      <alignment horizontal="center" wrapText="1"/>
    </xf>
    <xf numFmtId="1" fontId="85" fillId="0" borderId="25" xfId="49" applyNumberFormat="1" applyFont="1" applyBorder="1" applyAlignment="1">
      <alignment horizontal="center" wrapText="1"/>
    </xf>
    <xf numFmtId="1" fontId="85" fillId="0" borderId="23" xfId="49" applyNumberFormat="1" applyFont="1" applyBorder="1" applyAlignment="1">
      <alignment horizontal="center" wrapText="1"/>
    </xf>
    <xf numFmtId="167" fontId="85" fillId="0" borderId="6" xfId="49" applyNumberFormat="1" applyFont="1" applyBorder="1" applyAlignment="1">
      <alignment horizontal="center" wrapText="1"/>
    </xf>
    <xf numFmtId="1" fontId="83" fillId="0" borderId="0" xfId="45" applyNumberFormat="1" applyFont="1"/>
    <xf numFmtId="167" fontId="83" fillId="0" borderId="0" xfId="49" applyNumberFormat="1" applyFont="1" applyAlignment="1">
      <alignment horizontal="right"/>
    </xf>
    <xf numFmtId="1" fontId="84" fillId="0" borderId="13" xfId="45" applyNumberFormat="1" applyFont="1" applyBorder="1"/>
    <xf numFmtId="1" fontId="84" fillId="0" borderId="0" xfId="45" applyNumberFormat="1" applyFont="1"/>
    <xf numFmtId="3" fontId="84" fillId="0" borderId="0" xfId="45" applyNumberFormat="1" applyFont="1"/>
    <xf numFmtId="3" fontId="83" fillId="0" borderId="0" xfId="45" applyNumberFormat="1" applyFont="1"/>
    <xf numFmtId="3" fontId="0" fillId="0" borderId="0" xfId="0" applyNumberFormat="1"/>
    <xf numFmtId="169" fontId="42" fillId="0" borderId="0" xfId="105" applyFont="1" applyAlignment="1">
      <alignment horizontal="left"/>
    </xf>
    <xf numFmtId="169" fontId="13" fillId="0" borderId="0" xfId="105" applyFont="1" applyFill="1"/>
    <xf numFmtId="167" fontId="0" fillId="0" borderId="0" xfId="0" applyNumberFormat="1"/>
    <xf numFmtId="169" fontId="86" fillId="0" borderId="0" xfId="105" applyFont="1"/>
    <xf numFmtId="0" fontId="11" fillId="0" borderId="0" xfId="99"/>
    <xf numFmtId="0" fontId="11" fillId="0" borderId="0" xfId="99" applyFont="1" applyAlignment="1">
      <alignment horizontal="center"/>
    </xf>
    <xf numFmtId="0" fontId="11" fillId="0" borderId="0" xfId="99" applyFont="1" applyAlignment="1">
      <alignment horizontal="left"/>
    </xf>
    <xf numFmtId="3" fontId="11" fillId="0" borderId="0" xfId="99" applyNumberFormat="1" applyFont="1"/>
    <xf numFmtId="165" fontId="11" fillId="0" borderId="0" xfId="99" applyNumberFormat="1" applyFont="1"/>
    <xf numFmtId="0" fontId="11" fillId="0" borderId="12" xfId="99" applyFont="1" applyBorder="1" applyAlignment="1">
      <alignment horizontal="left"/>
    </xf>
    <xf numFmtId="0" fontId="11" fillId="0" borderId="0" xfId="99" applyFont="1" applyBorder="1" applyAlignment="1">
      <alignment horizontal="left"/>
    </xf>
    <xf numFmtId="3" fontId="45" fillId="0" borderId="0" xfId="96" applyNumberFormat="1" applyFont="1" applyAlignment="1">
      <alignment horizontal="right"/>
    </xf>
    <xf numFmtId="165" fontId="11" fillId="0" borderId="0" xfId="96" applyNumberFormat="1" applyFont="1" applyBorder="1" applyAlignment="1">
      <alignment horizontal="right"/>
    </xf>
    <xf numFmtId="0" fontId="11" fillId="0" borderId="0" xfId="99" applyFont="1"/>
    <xf numFmtId="166" fontId="11" fillId="0" borderId="0" xfId="99" applyNumberFormat="1" applyFont="1"/>
    <xf numFmtId="3" fontId="11" fillId="0" borderId="0" xfId="96" applyNumberFormat="1" applyFont="1" applyAlignment="1">
      <alignment horizontal="right"/>
    </xf>
    <xf numFmtId="9" fontId="42" fillId="0" borderId="3" xfId="1" applyFont="1" applyBorder="1" applyAlignment="1" applyProtection="1">
      <alignment wrapText="1"/>
      <protection locked="0" hidden="1"/>
    </xf>
    <xf numFmtId="0" fontId="42" fillId="5" borderId="1" xfId="0" applyFont="1" applyFill="1" applyBorder="1" applyAlignment="1" applyProtection="1">
      <alignment vertical="center" wrapText="1"/>
      <protection locked="0" hidden="1"/>
    </xf>
    <xf numFmtId="0" fontId="4" fillId="5" borderId="31" xfId="0" applyFont="1" applyFill="1" applyBorder="1" applyProtection="1">
      <protection locked="0" hidden="1"/>
    </xf>
    <xf numFmtId="0" fontId="4" fillId="5" borderId="32" xfId="0" applyFont="1" applyFill="1" applyBorder="1" applyProtection="1">
      <protection locked="0" hidden="1"/>
    </xf>
    <xf numFmtId="0" fontId="4" fillId="5" borderId="30" xfId="0" applyFont="1" applyFill="1" applyBorder="1" applyProtection="1">
      <protection locked="0" hidden="1"/>
    </xf>
    <xf numFmtId="0" fontId="42" fillId="0" borderId="31" xfId="0" applyFont="1" applyFill="1" applyBorder="1" applyAlignment="1" applyProtection="1">
      <alignment vertical="center" wrapText="1"/>
      <protection locked="0" hidden="1"/>
    </xf>
    <xf numFmtId="0" fontId="42" fillId="0" borderId="4" xfId="0" applyFont="1" applyBorder="1" applyAlignment="1" applyProtection="1">
      <alignment horizontal="left" wrapText="1"/>
      <protection locked="0" hidden="1"/>
    </xf>
    <xf numFmtId="3" fontId="4" fillId="2" borderId="1" xfId="0" applyNumberFormat="1" applyFont="1" applyFill="1" applyBorder="1" applyAlignment="1" applyProtection="1">
      <alignment horizontal="left" wrapText="1"/>
      <protection locked="0" hidden="1"/>
    </xf>
    <xf numFmtId="0" fontId="42" fillId="5" borderId="4" xfId="0" applyFont="1" applyFill="1" applyBorder="1" applyAlignment="1" applyProtection="1">
      <alignment vertical="center" wrapText="1"/>
      <protection locked="0" hidden="1"/>
    </xf>
    <xf numFmtId="0" fontId="46" fillId="0" borderId="0" xfId="94" applyFill="1"/>
    <xf numFmtId="0" fontId="46" fillId="0" borderId="0" xfId="94" applyFill="1" applyAlignment="1">
      <alignment horizontal="right" wrapText="1"/>
    </xf>
    <xf numFmtId="165" fontId="42" fillId="2" borderId="3" xfId="0" applyNumberFormat="1" applyFont="1" applyFill="1" applyBorder="1" applyAlignment="1" applyProtection="1">
      <alignment wrapText="1"/>
      <protection locked="0" hidden="1"/>
    </xf>
    <xf numFmtId="9" fontId="42" fillId="2" borderId="3" xfId="1" applyFont="1" applyFill="1" applyBorder="1" applyAlignment="1" applyProtection="1">
      <alignment wrapText="1"/>
      <protection locked="0" hidden="1"/>
    </xf>
    <xf numFmtId="9" fontId="42" fillId="0" borderId="32" xfId="1" applyFont="1" applyFill="1" applyBorder="1" applyAlignment="1" applyProtection="1">
      <alignment wrapText="1"/>
      <protection locked="0" hidden="1"/>
    </xf>
    <xf numFmtId="0" fontId="87" fillId="0" borderId="0" xfId="0" applyFont="1" applyAlignment="1">
      <alignment horizontal="center"/>
    </xf>
    <xf numFmtId="0" fontId="37" fillId="0" borderId="61" xfId="0" applyFont="1" applyBorder="1" applyAlignment="1">
      <alignment horizontal="center" wrapText="1"/>
    </xf>
    <xf numFmtId="0" fontId="37" fillId="0" borderId="44" xfId="0" applyFont="1" applyFill="1" applyBorder="1" applyAlignment="1">
      <alignment horizontal="center" wrapText="1"/>
    </xf>
    <xf numFmtId="0" fontId="88" fillId="0" borderId="0" xfId="0" applyFont="1" applyAlignment="1">
      <alignment horizontal="center" wrapText="1"/>
    </xf>
    <xf numFmtId="1" fontId="66" fillId="0" borderId="53" xfId="0" applyNumberFormat="1" applyFont="1" applyFill="1" applyBorder="1" applyAlignment="1" applyProtection="1">
      <alignment vertical="center" wrapText="1"/>
    </xf>
    <xf numFmtId="0" fontId="3" fillId="0" borderId="4" xfId="0" applyNumberFormat="1" applyFont="1" applyBorder="1" applyAlignment="1" applyProtection="1">
      <alignment wrapText="1"/>
      <protection locked="0" hidden="1"/>
    </xf>
    <xf numFmtId="0" fontId="3" fillId="2" borderId="1" xfId="0" applyNumberFormat="1" applyFont="1" applyFill="1" applyBorder="1" applyAlignment="1" applyProtection="1">
      <alignment wrapText="1"/>
      <protection locked="0" hidden="1"/>
    </xf>
    <xf numFmtId="0" fontId="14" fillId="0" borderId="1" xfId="1" applyNumberFormat="1" applyFont="1" applyBorder="1" applyAlignment="1" applyProtection="1">
      <alignment wrapText="1"/>
      <protection locked="0" hidden="1"/>
    </xf>
    <xf numFmtId="0" fontId="14" fillId="2" borderId="1" xfId="1" applyNumberFormat="1" applyFont="1" applyFill="1" applyBorder="1" applyAlignment="1" applyProtection="1">
      <alignment wrapText="1"/>
      <protection locked="0" hidden="1"/>
    </xf>
    <xf numFmtId="0" fontId="14" fillId="0" borderId="31" xfId="1" applyNumberFormat="1" applyFont="1" applyBorder="1" applyAlignment="1" applyProtection="1">
      <alignment wrapText="1"/>
      <protection locked="0" hidden="1"/>
    </xf>
    <xf numFmtId="9" fontId="53" fillId="0" borderId="3" xfId="0" applyNumberFormat="1" applyFont="1" applyFill="1" applyBorder="1" applyAlignment="1" applyProtection="1">
      <alignment horizontal="right" wrapText="1"/>
      <protection locked="0" hidden="1"/>
    </xf>
    <xf numFmtId="9" fontId="53" fillId="0" borderId="30" xfId="0" applyNumberFormat="1" applyFont="1" applyFill="1" applyBorder="1" applyAlignment="1" applyProtection="1">
      <alignment horizontal="right" wrapText="1"/>
      <protection locked="0" hidden="1"/>
    </xf>
    <xf numFmtId="9" fontId="53" fillId="0" borderId="32" xfId="0" applyNumberFormat="1" applyFont="1" applyFill="1" applyBorder="1" applyAlignment="1" applyProtection="1">
      <alignment horizontal="right" wrapText="1"/>
      <protection locked="0" hidden="1"/>
    </xf>
    <xf numFmtId="10" fontId="54" fillId="0" borderId="4" xfId="0" applyNumberFormat="1" applyFont="1" applyFill="1" applyBorder="1" applyAlignment="1" applyProtection="1">
      <alignment horizontal="right" wrapText="1"/>
      <protection locked="0" hidden="1"/>
    </xf>
    <xf numFmtId="0" fontId="54" fillId="0" borderId="1" xfId="0" applyFont="1" applyFill="1" applyBorder="1" applyAlignment="1" applyProtection="1">
      <alignment horizontal="right" wrapText="1"/>
      <protection locked="0" hidden="1"/>
    </xf>
    <xf numFmtId="0" fontId="56" fillId="0" borderId="1" xfId="4" applyFont="1" applyFill="1" applyBorder="1" applyAlignment="1" applyProtection="1">
      <alignment horizontal="right" wrapText="1"/>
      <protection locked="0" hidden="1"/>
    </xf>
    <xf numFmtId="0" fontId="54" fillId="0" borderId="31" xfId="0" applyFont="1" applyFill="1" applyBorder="1" applyAlignment="1" applyProtection="1">
      <alignment horizontal="right" wrapText="1"/>
      <protection locked="0" hidden="1"/>
    </xf>
    <xf numFmtId="0" fontId="39" fillId="0" borderId="0" xfId="0" applyFont="1" applyBorder="1" applyProtection="1">
      <protection locked="0"/>
    </xf>
    <xf numFmtId="1" fontId="8" fillId="0" borderId="0" xfId="0" applyNumberFormat="1" applyFont="1" applyBorder="1" applyProtection="1">
      <protection locked="0" hidden="1"/>
    </xf>
    <xf numFmtId="0" fontId="7" fillId="0" borderId="0" xfId="0" applyFont="1" applyBorder="1" applyAlignment="1" applyProtection="1">
      <alignment wrapText="1"/>
      <protection locked="0" hidden="1"/>
    </xf>
    <xf numFmtId="10" fontId="42" fillId="0" borderId="0" xfId="0" applyNumberFormat="1" applyFont="1" applyFill="1" applyBorder="1"/>
    <xf numFmtId="0" fontId="42" fillId="2" borderId="0" xfId="0" applyFont="1" applyFill="1" applyBorder="1"/>
    <xf numFmtId="0" fontId="42" fillId="5" borderId="0" xfId="0" applyFont="1" applyFill="1" applyBorder="1" applyAlignment="1">
      <alignment horizontal="left" wrapText="1"/>
    </xf>
    <xf numFmtId="0" fontId="42" fillId="0" borderId="0" xfId="0" applyFont="1" applyFill="1" applyBorder="1" applyAlignment="1" applyProtection="1">
      <alignment horizontal="right" wrapText="1"/>
      <protection locked="0" hidden="1"/>
    </xf>
    <xf numFmtId="164" fontId="42" fillId="0" borderId="0" xfId="1" applyNumberFormat="1" applyFont="1" applyFill="1" applyBorder="1" applyAlignment="1" applyProtection="1">
      <alignment horizontal="right" wrapText="1"/>
      <protection locked="0" hidden="1"/>
    </xf>
    <xf numFmtId="0" fontId="42" fillId="2" borderId="0" xfId="0" applyFont="1" applyFill="1" applyBorder="1" applyAlignment="1" applyProtection="1">
      <alignment horizontal="right" wrapText="1"/>
      <protection locked="0" hidden="1"/>
    </xf>
    <xf numFmtId="164" fontId="42" fillId="2" borderId="0" xfId="1" applyNumberFormat="1" applyFont="1" applyFill="1" applyBorder="1" applyAlignment="1" applyProtection="1">
      <alignment horizontal="right" wrapText="1"/>
      <protection locked="0" hidden="1"/>
    </xf>
    <xf numFmtId="0" fontId="42" fillId="0" borderId="0" xfId="0" applyFont="1" applyFill="1" applyBorder="1" applyAlignment="1">
      <alignment wrapText="1"/>
    </xf>
    <xf numFmtId="10" fontId="42" fillId="2" borderId="0" xfId="0" applyNumberFormat="1" applyFont="1" applyFill="1" applyBorder="1" applyAlignment="1"/>
    <xf numFmtId="10" fontId="42" fillId="0" borderId="0" xfId="0" applyNumberFormat="1" applyFont="1" applyFill="1" applyBorder="1" applyAlignment="1">
      <alignment wrapText="1"/>
    </xf>
    <xf numFmtId="165" fontId="42" fillId="0" borderId="0" xfId="93" applyNumberFormat="1" applyFont="1" applyFill="1" applyBorder="1" applyAlignment="1" applyProtection="1">
      <alignment horizontal="right" wrapText="1"/>
      <protection locked="0" hidden="1"/>
    </xf>
    <xf numFmtId="165" fontId="42" fillId="2" borderId="0" xfId="93" applyNumberFormat="1" applyFont="1" applyFill="1" applyBorder="1" applyAlignment="1" applyProtection="1">
      <alignment horizontal="right" wrapText="1"/>
      <protection locked="0" hidden="1"/>
    </xf>
    <xf numFmtId="3" fontId="4" fillId="2" borderId="10" xfId="0" applyNumberFormat="1" applyFont="1" applyFill="1" applyBorder="1" applyAlignment="1" applyProtection="1">
      <alignment horizontal="right"/>
      <protection locked="0" hidden="1"/>
    </xf>
    <xf numFmtId="0" fontId="42" fillId="2" borderId="0" xfId="0" applyFont="1" applyFill="1" applyBorder="1" applyAlignment="1">
      <alignment horizontal="left" wrapText="1"/>
    </xf>
    <xf numFmtId="0" fontId="42" fillId="0" borderId="0" xfId="0" applyFont="1" applyFill="1" applyBorder="1" applyAlignment="1"/>
    <xf numFmtId="0" fontId="42" fillId="2" borderId="0" xfId="0" applyFont="1" applyFill="1" applyBorder="1" applyAlignment="1"/>
    <xf numFmtId="0" fontId="42" fillId="0" borderId="0" xfId="0" applyFont="1" applyBorder="1"/>
    <xf numFmtId="0" fontId="42" fillId="2" borderId="0" xfId="0" applyFont="1" applyFill="1" applyBorder="1" applyAlignment="1">
      <alignment vertical="center" wrapText="1"/>
    </xf>
    <xf numFmtId="0" fontId="42" fillId="0" borderId="0" xfId="0" applyFont="1" applyBorder="1" applyAlignment="1" applyProtection="1">
      <alignment horizontal="right" wrapText="1"/>
      <protection locked="0" hidden="1"/>
    </xf>
    <xf numFmtId="165" fontId="42" fillId="0" borderId="0" xfId="0" applyNumberFormat="1" applyFont="1" applyBorder="1" applyAlignment="1" applyProtection="1">
      <alignment horizontal="right" wrapText="1"/>
      <protection locked="0" hidden="1"/>
    </xf>
    <xf numFmtId="0" fontId="42" fillId="0" borderId="0" xfId="0" applyFont="1" applyFill="1" applyBorder="1" applyAlignment="1" applyProtection="1">
      <alignment horizontal="right" vertical="center" wrapText="1"/>
      <protection locked="0" hidden="1"/>
    </xf>
    <xf numFmtId="9" fontId="42" fillId="0" borderId="0" xfId="1" applyFont="1" applyBorder="1" applyAlignment="1" applyProtection="1">
      <alignment horizontal="right" shrinkToFit="1"/>
      <protection locked="0" hidden="1"/>
    </xf>
    <xf numFmtId="0" fontId="42" fillId="2" borderId="0" xfId="0" applyFont="1" applyFill="1" applyBorder="1" applyAlignment="1" applyProtection="1">
      <alignment horizontal="right" vertical="center" wrapText="1"/>
      <protection locked="0" hidden="1"/>
    </xf>
    <xf numFmtId="9" fontId="42" fillId="2" borderId="0" xfId="0" applyNumberFormat="1" applyFont="1" applyFill="1" applyBorder="1" applyAlignment="1" applyProtection="1">
      <alignment horizontal="right" vertical="center" wrapText="1"/>
      <protection locked="0" hidden="1"/>
    </xf>
    <xf numFmtId="1" fontId="89" fillId="0" borderId="53" xfId="0" applyNumberFormat="1" applyFont="1" applyFill="1" applyBorder="1" applyAlignment="1" applyProtection="1">
      <alignment vertical="center" wrapText="1"/>
    </xf>
    <xf numFmtId="1" fontId="66" fillId="44" borderId="53" xfId="0" applyNumberFormat="1" applyFont="1" applyFill="1" applyBorder="1" applyAlignment="1" applyProtection="1">
      <alignment vertical="center" wrapText="1"/>
    </xf>
    <xf numFmtId="0" fontId="42" fillId="0" borderId="0" xfId="0" applyFont="1" applyFill="1" applyBorder="1" applyAlignment="1" applyProtection="1">
      <alignment horizontal="left" indent="1"/>
      <protection locked="0" hidden="1"/>
    </xf>
    <xf numFmtId="9" fontId="42" fillId="0" borderId="43" xfId="0" applyNumberFormat="1" applyFont="1" applyFill="1" applyBorder="1" applyAlignment="1" applyProtection="1">
      <alignment horizontal="right"/>
      <protection locked="0" hidden="1"/>
    </xf>
    <xf numFmtId="9" fontId="42" fillId="0" borderId="45" xfId="0" applyNumberFormat="1" applyFont="1" applyFill="1" applyBorder="1" applyAlignment="1" applyProtection="1">
      <alignment horizontal="right"/>
      <protection locked="0" hidden="1"/>
    </xf>
    <xf numFmtId="0" fontId="54" fillId="0" borderId="0" xfId="0" applyFont="1" applyFill="1" applyBorder="1" applyAlignment="1" applyProtection="1">
      <alignment horizontal="right" wrapText="1"/>
      <protection locked="0" hidden="1"/>
    </xf>
    <xf numFmtId="0" fontId="54" fillId="0" borderId="0" xfId="4" applyFont="1" applyFill="1" applyBorder="1" applyAlignment="1" applyProtection="1">
      <alignment horizontal="right" wrapText="1"/>
      <protection locked="0" hidden="1"/>
    </xf>
    <xf numFmtId="0" fontId="56" fillId="0" borderId="0" xfId="4" applyFont="1" applyFill="1" applyBorder="1" applyAlignment="1" applyProtection="1">
      <alignment horizontal="right" wrapText="1"/>
      <protection locked="0" hidden="1"/>
    </xf>
    <xf numFmtId="0" fontId="54" fillId="0" borderId="2" xfId="0" applyFont="1" applyFill="1" applyBorder="1" applyAlignment="1" applyProtection="1">
      <alignment horizontal="right" wrapText="1"/>
      <protection locked="0" hidden="1"/>
    </xf>
    <xf numFmtId="3" fontId="53" fillId="0" borderId="2" xfId="0" applyNumberFormat="1" applyFont="1" applyFill="1" applyBorder="1" applyAlignment="1" applyProtection="1">
      <alignment horizontal="right" wrapText="1"/>
      <protection locked="0" hidden="1"/>
    </xf>
    <xf numFmtId="3" fontId="53" fillId="0" borderId="5" xfId="1" applyNumberFormat="1" applyFont="1" applyFill="1" applyBorder="1" applyAlignment="1" applyProtection="1">
      <alignment horizontal="right" wrapText="1"/>
      <protection locked="0" hidden="1"/>
    </xf>
    <xf numFmtId="0" fontId="56" fillId="0" borderId="30" xfId="4" applyFont="1" applyFill="1" applyBorder="1" applyAlignment="1" applyProtection="1">
      <alignment horizontal="right" wrapText="1"/>
      <protection locked="0" hidden="1"/>
    </xf>
    <xf numFmtId="10" fontId="13" fillId="48" borderId="0" xfId="0" applyNumberFormat="1" applyFont="1" applyFill="1" applyBorder="1" applyAlignment="1" applyProtection="1">
      <alignment horizontal="center"/>
      <protection locked="0" hidden="1"/>
    </xf>
    <xf numFmtId="10" fontId="13" fillId="48" borderId="0" xfId="0" applyNumberFormat="1" applyFont="1" applyFill="1" applyBorder="1" applyAlignment="1" applyProtection="1">
      <alignment horizontal="center" wrapText="1"/>
      <protection locked="0" hidden="1"/>
    </xf>
    <xf numFmtId="0" fontId="3" fillId="0" borderId="6" xfId="0" applyFont="1" applyBorder="1" applyAlignment="1">
      <alignment wrapText="1"/>
    </xf>
    <xf numFmtId="0" fontId="3" fillId="0" borderId="6" xfId="0" applyFont="1" applyBorder="1" applyAlignment="1">
      <alignment horizontal="center" wrapText="1"/>
    </xf>
    <xf numFmtId="0" fontId="3" fillId="0" borderId="6" xfId="0" applyFont="1" applyFill="1" applyBorder="1" applyAlignment="1">
      <alignment horizontal="center" wrapText="1"/>
    </xf>
    <xf numFmtId="10" fontId="13" fillId="48" borderId="0" xfId="0" applyNumberFormat="1" applyFont="1" applyFill="1" applyBorder="1" applyAlignment="1" applyProtection="1">
      <alignment horizontal="center" wrapText="1"/>
      <protection locked="0" hidden="1"/>
    </xf>
    <xf numFmtId="0" fontId="90" fillId="0" borderId="0" xfId="99" applyFont="1" applyAlignment="1">
      <alignment horizontal="left"/>
    </xf>
    <xf numFmtId="0" fontId="14" fillId="0" borderId="0" xfId="0" applyFont="1" applyFill="1" applyBorder="1" applyAlignment="1" applyProtection="1">
      <alignment horizontal="left" indent="1"/>
      <protection locked="0" hidden="1"/>
    </xf>
    <xf numFmtId="3" fontId="6" fillId="0" borderId="10" xfId="0" applyNumberFormat="1" applyFont="1" applyFill="1" applyBorder="1" applyAlignment="1" applyProtection="1">
      <alignment horizontal="left" wrapText="1"/>
      <protection locked="0" hidden="1"/>
    </xf>
    <xf numFmtId="164" fontId="44" fillId="0" borderId="6" xfId="0" applyNumberFormat="1" applyFont="1" applyBorder="1" applyAlignment="1">
      <alignment horizontal="right" wrapText="1"/>
    </xf>
    <xf numFmtId="164" fontId="0" fillId="0" borderId="0" xfId="0" applyNumberFormat="1"/>
    <xf numFmtId="164" fontId="0" fillId="0" borderId="0" xfId="1" applyNumberFormat="1" applyFont="1"/>
    <xf numFmtId="44" fontId="0" fillId="0" borderId="6" xfId="93" applyFont="1" applyBorder="1"/>
    <xf numFmtId="0" fontId="4" fillId="2" borderId="1" xfId="0" applyNumberFormat="1" applyFont="1" applyFill="1" applyBorder="1" applyAlignment="1" applyProtection="1">
      <alignment horizontal="center" wrapText="1" shrinkToFit="1"/>
      <protection locked="0" hidden="1"/>
    </xf>
    <xf numFmtId="0" fontId="4" fillId="2" borderId="3" xfId="0" applyNumberFormat="1" applyFont="1" applyFill="1" applyBorder="1" applyAlignment="1" applyProtection="1">
      <alignment horizontal="center" wrapText="1" shrinkToFit="1"/>
      <protection locked="0" hidden="1"/>
    </xf>
    <xf numFmtId="3" fontId="4" fillId="0" borderId="1" xfId="0" applyNumberFormat="1" applyFont="1" applyBorder="1" applyAlignment="1" applyProtection="1">
      <alignment horizontal="center" wrapText="1" shrinkToFit="1"/>
      <protection locked="0" hidden="1"/>
    </xf>
    <xf numFmtId="3" fontId="4" fillId="0" borderId="3" xfId="0" applyNumberFormat="1" applyFont="1" applyBorder="1" applyAlignment="1" applyProtection="1">
      <alignment horizontal="center" wrapText="1" shrinkToFit="1"/>
      <protection locked="0" hidden="1"/>
    </xf>
    <xf numFmtId="10" fontId="13" fillId="48" borderId="0" xfId="0" applyNumberFormat="1" applyFont="1" applyFill="1" applyBorder="1" applyAlignment="1" applyProtection="1">
      <alignment horizontal="center"/>
      <protection locked="0" hidden="1"/>
    </xf>
    <xf numFmtId="0" fontId="76" fillId="6" borderId="0" xfId="0" applyFont="1" applyFill="1" applyBorder="1" applyAlignment="1">
      <alignment horizontal="center"/>
    </xf>
    <xf numFmtId="10" fontId="13" fillId="48" borderId="0" xfId="0" applyNumberFormat="1" applyFont="1" applyFill="1" applyBorder="1" applyAlignment="1" applyProtection="1">
      <alignment horizontal="center" wrapText="1"/>
      <protection locked="0" hidden="1"/>
    </xf>
    <xf numFmtId="3" fontId="4" fillId="0" borderId="4" xfId="0" applyNumberFormat="1" applyFont="1" applyBorder="1" applyAlignment="1" applyProtection="1">
      <alignment horizontal="center" wrapText="1" shrinkToFit="1"/>
      <protection locked="0" hidden="1"/>
    </xf>
    <xf numFmtId="3" fontId="4" fillId="0" borderId="5" xfId="0" applyNumberFormat="1" applyFont="1" applyBorder="1" applyAlignment="1" applyProtection="1">
      <alignment horizontal="center" wrapText="1" shrinkToFit="1"/>
      <protection locked="0" hidden="1"/>
    </xf>
    <xf numFmtId="0" fontId="42" fillId="5" borderId="2" xfId="1" applyNumberFormat="1" applyFont="1" applyFill="1" applyBorder="1" applyAlignment="1" applyProtection="1">
      <alignment horizontal="center" wrapText="1"/>
      <protection locked="0" hidden="1"/>
    </xf>
    <xf numFmtId="0" fontId="42" fillId="5" borderId="5" xfId="1" applyNumberFormat="1" applyFont="1" applyFill="1" applyBorder="1" applyAlignment="1" applyProtection="1">
      <alignment horizontal="center" wrapText="1"/>
      <protection locked="0" hidden="1"/>
    </xf>
    <xf numFmtId="0" fontId="42" fillId="5" borderId="0" xfId="1" applyNumberFormat="1" applyFont="1" applyFill="1" applyBorder="1" applyAlignment="1" applyProtection="1">
      <alignment horizontal="center" wrapText="1"/>
      <protection locked="0" hidden="1"/>
    </xf>
    <xf numFmtId="0" fontId="42" fillId="5" borderId="3" xfId="1" applyNumberFormat="1" applyFont="1" applyFill="1" applyBorder="1" applyAlignment="1" applyProtection="1">
      <alignment horizontal="center" wrapText="1"/>
      <protection locked="0" hidden="1"/>
    </xf>
    <xf numFmtId="0" fontId="42" fillId="2" borderId="0" xfId="1" applyNumberFormat="1" applyFont="1" applyFill="1" applyBorder="1" applyAlignment="1" applyProtection="1">
      <alignment horizontal="center" shrinkToFit="1"/>
      <protection locked="0" hidden="1"/>
    </xf>
    <xf numFmtId="0" fontId="42" fillId="2" borderId="3" xfId="1" applyNumberFormat="1" applyFont="1" applyFill="1" applyBorder="1" applyAlignment="1" applyProtection="1">
      <alignment horizontal="center" shrinkToFit="1"/>
      <protection locked="0" hidden="1"/>
    </xf>
    <xf numFmtId="0" fontId="42" fillId="0" borderId="0" xfId="1" applyNumberFormat="1" applyFont="1" applyBorder="1" applyAlignment="1" applyProtection="1">
      <alignment horizontal="center" shrinkToFit="1"/>
      <protection locked="0" hidden="1"/>
    </xf>
    <xf numFmtId="0" fontId="42" fillId="0" borderId="3" xfId="1" applyNumberFormat="1" applyFont="1" applyBorder="1" applyAlignment="1" applyProtection="1">
      <alignment horizontal="center" shrinkToFit="1"/>
      <protection locked="0" hidden="1"/>
    </xf>
    <xf numFmtId="3" fontId="4" fillId="0" borderId="31" xfId="0" applyNumberFormat="1" applyFont="1" applyBorder="1" applyAlignment="1" applyProtection="1">
      <alignment horizontal="center" wrapText="1" shrinkToFit="1"/>
      <protection locked="0" hidden="1"/>
    </xf>
    <xf numFmtId="3" fontId="4" fillId="0" borderId="32" xfId="0" applyNumberFormat="1" applyFont="1" applyBorder="1" applyAlignment="1" applyProtection="1">
      <alignment horizontal="center" wrapText="1" shrinkToFit="1"/>
      <protection locked="0" hidden="1"/>
    </xf>
    <xf numFmtId="0" fontId="13" fillId="10" borderId="0" xfId="2" applyFont="1" applyFill="1" applyBorder="1" applyAlignment="1">
      <alignment horizontal="right" wrapText="1"/>
    </xf>
    <xf numFmtId="0" fontId="8" fillId="9" borderId="0" xfId="0" applyFont="1" applyFill="1" applyBorder="1" applyAlignment="1">
      <alignment horizontal="right"/>
    </xf>
    <xf numFmtId="0" fontId="11" fillId="0" borderId="0" xfId="2" applyAlignment="1">
      <alignment horizontal="left"/>
    </xf>
    <xf numFmtId="0" fontId="11" fillId="0" borderId="0" xfId="2"/>
    <xf numFmtId="0" fontId="17" fillId="8" borderId="0" xfId="0" applyFont="1" applyFill="1" applyBorder="1" applyAlignment="1">
      <alignment horizontal="right" vertical="top"/>
    </xf>
    <xf numFmtId="0" fontId="17" fillId="8" borderId="0" xfId="0" applyFont="1" applyFill="1" applyBorder="1" applyAlignment="1">
      <alignment horizontal="left" vertical="top"/>
    </xf>
    <xf numFmtId="0" fontId="6" fillId="8" borderId="0" xfId="0" applyFont="1" applyFill="1" applyBorder="1" applyAlignment="1">
      <alignment horizontal="center" wrapText="1"/>
    </xf>
    <xf numFmtId="0" fontId="5" fillId="10" borderId="0" xfId="0" applyFont="1" applyFill="1" applyBorder="1" applyAlignment="1">
      <alignment horizontal="center" wrapText="1"/>
    </xf>
    <xf numFmtId="0" fontId="5" fillId="10" borderId="0" xfId="0" applyFont="1" applyFill="1" applyBorder="1" applyAlignment="1">
      <alignment horizontal="right" wrapText="1"/>
    </xf>
    <xf numFmtId="0" fontId="13" fillId="10" borderId="0" xfId="2" applyFont="1" applyFill="1" applyBorder="1" applyAlignment="1">
      <alignment horizontal="center" wrapText="1"/>
    </xf>
    <xf numFmtId="0" fontId="7" fillId="42" borderId="0" xfId="0" applyFont="1" applyFill="1" applyBorder="1" applyAlignment="1">
      <alignment horizontal="right"/>
    </xf>
    <xf numFmtId="9" fontId="8" fillId="42" borderId="0" xfId="0" applyNumberFormat="1" applyFont="1" applyFill="1" applyBorder="1" applyAlignment="1">
      <alignment horizontal="center"/>
    </xf>
    <xf numFmtId="0" fontId="18" fillId="0" borderId="0" xfId="0" applyFont="1" applyBorder="1" applyAlignment="1">
      <alignment horizontal="center"/>
    </xf>
    <xf numFmtId="0" fontId="52" fillId="0" borderId="0" xfId="0" applyFont="1" applyAlignment="1">
      <alignment horizontal="center" wrapText="1"/>
    </xf>
    <xf numFmtId="0" fontId="7" fillId="0" borderId="0" xfId="0" applyFont="1" applyBorder="1" applyAlignment="1">
      <alignment horizontal="center" wrapText="1"/>
    </xf>
    <xf numFmtId="0" fontId="7" fillId="0" borderId="0" xfId="0" applyFont="1" applyFill="1" applyBorder="1" applyAlignment="1">
      <alignment horizontal="right"/>
    </xf>
    <xf numFmtId="6" fontId="8" fillId="0" borderId="0" xfId="0" applyNumberFormat="1" applyFont="1" applyFill="1" applyBorder="1" applyAlignment="1">
      <alignment horizontal="center"/>
    </xf>
    <xf numFmtId="9" fontId="8" fillId="42" borderId="0" xfId="0" applyNumberFormat="1" applyFont="1" applyFill="1" applyBorder="1" applyAlignment="1">
      <alignment horizontal="center" wrapText="1"/>
    </xf>
    <xf numFmtId="0" fontId="11" fillId="0" borderId="0" xfId="2" applyFill="1"/>
    <xf numFmtId="0" fontId="8" fillId="0" borderId="0" xfId="0" applyFont="1" applyBorder="1" applyAlignment="1">
      <alignment horizontal="right" wrapText="1"/>
    </xf>
    <xf numFmtId="9" fontId="8" fillId="0" borderId="0" xfId="0" applyNumberFormat="1" applyFont="1" applyFill="1" applyBorder="1" applyAlignment="1">
      <alignment horizontal="center"/>
    </xf>
    <xf numFmtId="0" fontId="8" fillId="43" borderId="0" xfId="0" applyFont="1" applyFill="1" applyBorder="1" applyAlignment="1">
      <alignment horizontal="right" wrapText="1"/>
    </xf>
    <xf numFmtId="9" fontId="8" fillId="0" borderId="0" xfId="0" applyNumberFormat="1" applyFont="1" applyFill="1" applyBorder="1" applyAlignment="1">
      <alignment horizontal="center" wrapText="1"/>
    </xf>
    <xf numFmtId="10" fontId="14" fillId="48" borderId="0" xfId="0" applyNumberFormat="1" applyFont="1" applyFill="1" applyBorder="1" applyAlignment="1" applyProtection="1">
      <alignment horizontal="center" wrapText="1"/>
      <protection locked="0" hidden="1"/>
    </xf>
    <xf numFmtId="0" fontId="76" fillId="6" borderId="0" xfId="0" applyFont="1" applyFill="1" applyAlignment="1">
      <alignment horizontal="center"/>
    </xf>
    <xf numFmtId="9" fontId="7" fillId="0" borderId="0" xfId="0" applyNumberFormat="1" applyFont="1" applyFill="1" applyBorder="1" applyAlignment="1">
      <alignment horizontal="center" wrapText="1"/>
    </xf>
    <xf numFmtId="9" fontId="7" fillId="42" borderId="0" xfId="0" applyNumberFormat="1" applyFont="1" applyFill="1" applyBorder="1" applyAlignment="1">
      <alignment horizontal="center" wrapText="1"/>
    </xf>
    <xf numFmtId="0" fontId="6" fillId="0" borderId="7" xfId="0" applyFont="1" applyBorder="1" applyAlignment="1">
      <alignment horizontal="center"/>
    </xf>
    <xf numFmtId="0" fontId="6" fillId="0" borderId="25" xfId="0" applyFont="1" applyBorder="1" applyAlignment="1">
      <alignment horizontal="center"/>
    </xf>
    <xf numFmtId="0" fontId="6" fillId="0" borderId="23" xfId="0" applyFont="1" applyBorder="1" applyAlignment="1">
      <alignment horizontal="center"/>
    </xf>
    <xf numFmtId="3" fontId="6" fillId="0" borderId="6" xfId="0" applyNumberFormat="1" applyFont="1" applyFill="1" applyBorder="1" applyAlignment="1">
      <alignment wrapText="1"/>
    </xf>
    <xf numFmtId="164" fontId="6" fillId="0" borderId="6" xfId="0" applyNumberFormat="1" applyFont="1" applyFill="1" applyBorder="1" applyAlignment="1">
      <alignment wrapText="1"/>
    </xf>
    <xf numFmtId="10" fontId="14" fillId="3" borderId="9" xfId="0" applyNumberFormat="1" applyFont="1" applyFill="1" applyBorder="1" applyAlignment="1">
      <alignment horizontal="center"/>
    </xf>
    <xf numFmtId="10" fontId="14" fillId="3" borderId="0" xfId="0" applyNumberFormat="1" applyFont="1" applyFill="1" applyBorder="1" applyAlignment="1">
      <alignment horizontal="center"/>
    </xf>
    <xf numFmtId="10" fontId="14" fillId="3" borderId="10" xfId="0" applyNumberFormat="1" applyFont="1" applyFill="1" applyBorder="1" applyAlignment="1">
      <alignment horizontal="center"/>
    </xf>
    <xf numFmtId="0" fontId="39" fillId="0" borderId="0" xfId="0" applyFont="1" applyAlignment="1">
      <alignment horizontal="center"/>
    </xf>
    <xf numFmtId="0" fontId="78" fillId="46" borderId="0" xfId="0" applyFont="1" applyFill="1" applyBorder="1" applyAlignment="1">
      <alignment horizontal="center" wrapText="1"/>
    </xf>
    <xf numFmtId="0" fontId="78" fillId="46" borderId="12" xfId="0" applyFont="1" applyFill="1" applyBorder="1" applyAlignment="1">
      <alignment horizontal="center" wrapText="1"/>
    </xf>
    <xf numFmtId="0" fontId="81" fillId="0" borderId="4" xfId="0" applyFont="1" applyFill="1" applyBorder="1" applyAlignment="1">
      <alignment horizontal="center" wrapText="1"/>
    </xf>
    <xf numFmtId="0" fontId="81" fillId="0" borderId="2" xfId="0" applyFont="1" applyFill="1" applyBorder="1" applyAlignment="1">
      <alignment horizontal="center" wrapText="1"/>
    </xf>
    <xf numFmtId="0" fontId="81" fillId="0" borderId="5" xfId="0" applyFont="1" applyFill="1" applyBorder="1" applyAlignment="1">
      <alignment horizontal="center" wrapText="1"/>
    </xf>
    <xf numFmtId="9" fontId="6" fillId="0" borderId="6" xfId="1" applyFont="1" applyBorder="1" applyAlignment="1">
      <alignment vertical="center" wrapText="1"/>
    </xf>
    <xf numFmtId="9" fontId="6" fillId="0" borderId="29" xfId="1" applyFont="1" applyBorder="1" applyAlignment="1">
      <alignment vertical="center" wrapText="1"/>
    </xf>
    <xf numFmtId="10" fontId="14" fillId="3" borderId="6" xfId="0" applyNumberFormat="1" applyFont="1" applyFill="1" applyBorder="1" applyAlignment="1">
      <alignment horizontal="center"/>
    </xf>
    <xf numFmtId="0" fontId="79" fillId="0" borderId="6" xfId="0" applyFont="1" applyBorder="1" applyAlignment="1">
      <alignment horizontal="center"/>
    </xf>
    <xf numFmtId="9" fontId="6" fillId="0" borderId="7" xfId="0" applyNumberFormat="1" applyFont="1" applyFill="1" applyBorder="1" applyAlignment="1">
      <alignment horizontal="left" wrapText="1"/>
    </xf>
    <xf numFmtId="9" fontId="6" fillId="0" borderId="25" xfId="0" applyNumberFormat="1" applyFont="1" applyFill="1" applyBorder="1" applyAlignment="1">
      <alignment horizontal="left" wrapText="1"/>
    </xf>
    <xf numFmtId="9" fontId="6" fillId="0" borderId="23" xfId="0" applyNumberFormat="1" applyFont="1" applyFill="1" applyBorder="1" applyAlignment="1">
      <alignment horizontal="left" wrapText="1"/>
    </xf>
    <xf numFmtId="10" fontId="12" fillId="3" borderId="6" xfId="0" applyNumberFormat="1" applyFont="1" applyFill="1" applyBorder="1" applyAlignment="1">
      <alignment horizontal="center"/>
    </xf>
    <xf numFmtId="10" fontId="14" fillId="3" borderId="7" xfId="0" applyNumberFormat="1" applyFont="1" applyFill="1" applyBorder="1" applyAlignment="1">
      <alignment horizontal="center"/>
    </xf>
    <xf numFmtId="10" fontId="14" fillId="3" borderId="25" xfId="0" applyNumberFormat="1" applyFont="1" applyFill="1" applyBorder="1" applyAlignment="1">
      <alignment horizontal="center"/>
    </xf>
    <xf numFmtId="10" fontId="14" fillId="3" borderId="23" xfId="0" applyNumberFormat="1" applyFont="1" applyFill="1" applyBorder="1" applyAlignment="1">
      <alignment horizontal="center"/>
    </xf>
    <xf numFmtId="0" fontId="6" fillId="0" borderId="24" xfId="0" applyFont="1" applyFill="1" applyBorder="1" applyAlignment="1">
      <alignment horizontal="center" wrapText="1"/>
    </xf>
    <xf numFmtId="0" fontId="6" fillId="0" borderId="13" xfId="0" applyFont="1" applyFill="1" applyBorder="1" applyAlignment="1">
      <alignment horizontal="center" wrapText="1"/>
    </xf>
    <xf numFmtId="0" fontId="6" fillId="0" borderId="28" xfId="0" applyFont="1" applyFill="1" applyBorder="1" applyAlignment="1">
      <alignment horizontal="center" wrapText="1"/>
    </xf>
    <xf numFmtId="0" fontId="16" fillId="0" borderId="7" xfId="3" applyFont="1" applyBorder="1" applyAlignment="1" applyProtection="1">
      <alignment horizontal="center"/>
    </xf>
    <xf numFmtId="0" fontId="16" fillId="0" borderId="25" xfId="3" applyFont="1" applyBorder="1" applyAlignment="1" applyProtection="1">
      <alignment horizontal="center"/>
    </xf>
    <xf numFmtId="0" fontId="16" fillId="0" borderId="23" xfId="3" applyFont="1" applyBorder="1" applyAlignment="1" applyProtection="1">
      <alignment horizontal="center"/>
    </xf>
    <xf numFmtId="165" fontId="6" fillId="0" borderId="6" xfId="0" applyNumberFormat="1" applyFont="1" applyBorder="1" applyAlignment="1">
      <alignment horizontal="left" wrapText="1"/>
    </xf>
    <xf numFmtId="9" fontId="6" fillId="0" borderId="27" xfId="0" applyNumberFormat="1" applyFont="1" applyFill="1" applyBorder="1" applyAlignment="1">
      <alignment horizontal="left" wrapText="1"/>
    </xf>
    <xf numFmtId="9" fontId="6" fillId="0" borderId="12" xfId="0" applyNumberFormat="1" applyFont="1" applyFill="1" applyBorder="1" applyAlignment="1">
      <alignment horizontal="left" wrapText="1"/>
    </xf>
    <xf numFmtId="9" fontId="6" fillId="0" borderId="26" xfId="0" applyNumberFormat="1" applyFont="1" applyFill="1" applyBorder="1" applyAlignment="1">
      <alignment horizontal="left" wrapText="1"/>
    </xf>
    <xf numFmtId="164" fontId="6" fillId="0" borderId="7" xfId="0" applyNumberFormat="1" applyFont="1" applyBorder="1" applyAlignment="1">
      <alignment horizontal="left" wrapText="1"/>
    </xf>
    <xf numFmtId="164" fontId="6" fillId="0" borderId="25" xfId="0" applyNumberFormat="1" applyFont="1" applyBorder="1" applyAlignment="1">
      <alignment horizontal="left" wrapText="1"/>
    </xf>
    <xf numFmtId="164" fontId="6" fillId="0" borderId="23" xfId="0" applyNumberFormat="1" applyFont="1" applyBorder="1" applyAlignment="1">
      <alignment horizontal="left" wrapText="1"/>
    </xf>
    <xf numFmtId="164" fontId="6" fillId="0" borderId="7" xfId="0" applyNumberFormat="1" applyFont="1" applyBorder="1" applyAlignment="1">
      <alignment wrapText="1"/>
    </xf>
    <xf numFmtId="164" fontId="6" fillId="0" borderId="25" xfId="0" applyNumberFormat="1" applyFont="1" applyBorder="1" applyAlignment="1">
      <alignment wrapText="1"/>
    </xf>
    <xf numFmtId="164" fontId="6" fillId="0" borderId="23" xfId="0" applyNumberFormat="1" applyFont="1" applyBorder="1" applyAlignment="1">
      <alignment wrapText="1"/>
    </xf>
    <xf numFmtId="0" fontId="8" fillId="0" borderId="0" xfId="0" applyFont="1" applyAlignment="1">
      <alignment horizontal="center"/>
    </xf>
    <xf numFmtId="0" fontId="17" fillId="0" borderId="0" xfId="0" applyFont="1" applyAlignment="1">
      <alignment horizontal="center"/>
    </xf>
    <xf numFmtId="0" fontId="3" fillId="0" borderId="0" xfId="0" applyFont="1" applyAlignment="1">
      <alignment horizontal="left"/>
    </xf>
    <xf numFmtId="0" fontId="3" fillId="0" borderId="0" xfId="94" applyFont="1" applyAlignment="1">
      <alignment horizontal="left"/>
    </xf>
    <xf numFmtId="1" fontId="84" fillId="0" borderId="7" xfId="49" applyNumberFormat="1" applyFont="1" applyBorder="1" applyAlignment="1">
      <alignment horizontal="center"/>
    </xf>
    <xf numFmtId="1" fontId="84" fillId="0" borderId="25" xfId="49" applyNumberFormat="1" applyFont="1" applyBorder="1" applyAlignment="1">
      <alignment horizontal="center"/>
    </xf>
    <xf numFmtId="1" fontId="84" fillId="0" borderId="23" xfId="49" applyNumberFormat="1" applyFont="1" applyBorder="1" applyAlignment="1">
      <alignment horizontal="center"/>
    </xf>
    <xf numFmtId="0" fontId="3" fillId="0" borderId="0" xfId="0" applyFont="1" applyAlignment="1">
      <alignment horizontal="center"/>
    </xf>
    <xf numFmtId="0" fontId="0" fillId="0" borderId="12" xfId="0" applyBorder="1" applyAlignment="1">
      <alignment horizontal="center"/>
    </xf>
    <xf numFmtId="0" fontId="3" fillId="0" borderId="13" xfId="0" applyFont="1" applyBorder="1" applyAlignment="1">
      <alignment horizontal="center"/>
    </xf>
    <xf numFmtId="0" fontId="7" fillId="44" borderId="50" xfId="0" applyFont="1" applyFill="1" applyBorder="1" applyAlignment="1">
      <alignment horizontal="center"/>
    </xf>
    <xf numFmtId="0" fontId="7" fillId="44" borderId="22" xfId="0" applyFont="1" applyFill="1" applyBorder="1" applyAlignment="1">
      <alignment horizontal="center"/>
    </xf>
    <xf numFmtId="0" fontId="7" fillId="44" borderId="51" xfId="0" applyFont="1" applyFill="1" applyBorder="1" applyAlignment="1">
      <alignment horizontal="center"/>
    </xf>
  </cellXfs>
  <cellStyles count="106">
    <cellStyle name="20% - Accent1 2" xfId="9"/>
    <cellStyle name="20% - Accent2 2" xfId="10"/>
    <cellStyle name="20% - Accent3 2" xfId="11"/>
    <cellStyle name="20% - Accent4 2" xfId="12"/>
    <cellStyle name="20% - Accent5 2" xfId="13"/>
    <cellStyle name="20% - Accent6 2" xfId="14"/>
    <cellStyle name="40% - Accent1 2" xfId="15"/>
    <cellStyle name="40% - Accent2 2" xfId="16"/>
    <cellStyle name="40% - Accent3 2" xfId="17"/>
    <cellStyle name="40% - Accent4 2" xfId="18"/>
    <cellStyle name="40% - Accent5 2" xfId="19"/>
    <cellStyle name="40% - Accent6 2" xfId="20"/>
    <cellStyle name="60% - Accent1 2" xfId="21"/>
    <cellStyle name="60% - Accent2 2" xfId="22"/>
    <cellStyle name="60% - Accent3 2" xfId="23"/>
    <cellStyle name="60% - Accent4 2" xfId="24"/>
    <cellStyle name="60% - Accent5 2" xfId="25"/>
    <cellStyle name="60% - Accent6 2" xfId="26"/>
    <cellStyle name="Accent1 2" xfId="27"/>
    <cellStyle name="Accent2 2" xfId="28"/>
    <cellStyle name="Accent3 2" xfId="29"/>
    <cellStyle name="Accent4 2" xfId="30"/>
    <cellStyle name="Accent5 2" xfId="31"/>
    <cellStyle name="Accent6 2" xfId="32"/>
    <cellStyle name="Bad 2" xfId="33"/>
    <cellStyle name="Calculation 2" xfId="34"/>
    <cellStyle name="Check Cell" xfId="4" builtinId="23"/>
    <cellStyle name="Check Cell 2" xfId="35"/>
    <cellStyle name="Comma 2" xfId="8"/>
    <cellStyle name="Comma 3" xfId="7"/>
    <cellStyle name="Currency" xfId="93" builtinId="4"/>
    <cellStyle name="Currency 2" xfId="98"/>
    <cellStyle name="Explanatory Text 2" xfId="36"/>
    <cellStyle name="Good 2" xfId="37"/>
    <cellStyle name="Heading 1 2" xfId="38"/>
    <cellStyle name="Heading 2 2" xfId="39"/>
    <cellStyle name="Heading 3 2" xfId="40"/>
    <cellStyle name="Heading 4 2" xfId="41"/>
    <cellStyle name="Hyperlink" xfId="3" builtinId="8"/>
    <cellStyle name="Input 2" xfId="42"/>
    <cellStyle name="Linked Cell 2" xfId="43"/>
    <cellStyle name="Neutral 2" xfId="44"/>
    <cellStyle name="Normal" xfId="0" builtinId="0"/>
    <cellStyle name="Normal 119" xfId="45"/>
    <cellStyle name="Normal 120" xfId="46"/>
    <cellStyle name="Normal 121" xfId="47"/>
    <cellStyle name="Normal 122" xfId="48"/>
    <cellStyle name="Normal 123" xfId="49"/>
    <cellStyle name="Normal 124" xfId="50"/>
    <cellStyle name="Normal 125" xfId="51"/>
    <cellStyle name="Normal 126" xfId="52"/>
    <cellStyle name="Normal 127" xfId="53"/>
    <cellStyle name="Normal 128" xfId="54"/>
    <cellStyle name="Normal 129" xfId="55"/>
    <cellStyle name="Normal 130" xfId="56"/>
    <cellStyle name="Normal 131" xfId="57"/>
    <cellStyle name="Normal 132" xfId="58"/>
    <cellStyle name="Normal 133" xfId="59"/>
    <cellStyle name="Normal 134" xfId="60"/>
    <cellStyle name="Normal 135" xfId="61"/>
    <cellStyle name="Normal 136" xfId="62"/>
    <cellStyle name="Normal 137" xfId="63"/>
    <cellStyle name="Normal 138" xfId="64"/>
    <cellStyle name="Normal 139" xfId="65"/>
    <cellStyle name="Normal 140" xfId="66"/>
    <cellStyle name="Normal 141" xfId="67"/>
    <cellStyle name="Normal 142" xfId="68"/>
    <cellStyle name="Normal 143" xfId="69"/>
    <cellStyle name="Normal 144" xfId="70"/>
    <cellStyle name="Normal 145" xfId="71"/>
    <cellStyle name="Normal 146" xfId="72"/>
    <cellStyle name="Normal 147" xfId="73"/>
    <cellStyle name="Normal 148" xfId="74"/>
    <cellStyle name="Normal 149" xfId="75"/>
    <cellStyle name="Normal 2" xfId="2"/>
    <cellStyle name="Normal 2 2" xfId="96"/>
    <cellStyle name="Normal 2 3" xfId="105"/>
    <cellStyle name="Normal 3" xfId="6"/>
    <cellStyle name="Normal 3 2" xfId="104"/>
    <cellStyle name="Normal 4" xfId="94"/>
    <cellStyle name="Normal 5" xfId="76"/>
    <cellStyle name="Normal 6" xfId="97"/>
    <cellStyle name="Normal 6 2" xfId="99"/>
    <cellStyle name="Normal 7" xfId="100"/>
    <cellStyle name="Normal 8" xfId="102"/>
    <cellStyle name="Normal 8 2" xfId="103"/>
    <cellStyle name="Normal_Definitions" xfId="101"/>
    <cellStyle name="Note 2" xfId="77"/>
    <cellStyle name="Note 2 2" xfId="78"/>
    <cellStyle name="Note 3" xfId="79"/>
    <cellStyle name="Note 3 2" xfId="80"/>
    <cellStyle name="Note 4" xfId="81"/>
    <cellStyle name="Note 4 2" xfId="82"/>
    <cellStyle name="Note 5" xfId="83"/>
    <cellStyle name="Note 5 2" xfId="84"/>
    <cellStyle name="Note 6" xfId="85"/>
    <cellStyle name="Note 6 2" xfId="86"/>
    <cellStyle name="Output 2" xfId="87"/>
    <cellStyle name="Percent" xfId="1" builtinId="5"/>
    <cellStyle name="Percent 115" xfId="89"/>
    <cellStyle name="Percent 116" xfId="90"/>
    <cellStyle name="Percent 2" xfId="88"/>
    <cellStyle name="Percent 3" xfId="95"/>
    <cellStyle name="Title" xfId="5" builtinId="15" customBuiltin="1"/>
    <cellStyle name="Total 2" xfId="91"/>
    <cellStyle name="Warning Text 2" xfId="92"/>
  </cellStyles>
  <dxfs count="12">
    <dxf>
      <numFmt numFmtId="2" formatCode="0.00"/>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top style="thin">
          <color indexed="64"/>
        </top>
        <bottom style="thin">
          <color indexed="64"/>
        </bottom>
      </border>
    </dxf>
    <dxf>
      <numFmt numFmtId="0" formatCode="General"/>
      <border diagonalUp="0" diagonalDown="0" outline="0">
        <left/>
        <right style="thin">
          <color indexed="64"/>
        </right>
        <top style="thin">
          <color indexed="64"/>
        </top>
        <bottom style="thin">
          <color indexed="64"/>
        </bottom>
      </border>
    </dxf>
    <dxf>
      <numFmt numFmtId="164" formatCode="0.0%"/>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top style="thin">
          <color indexed="64"/>
        </top>
        <bottom style="thin">
          <color indexed="64"/>
        </bottom>
      </border>
    </dxf>
    <dxf>
      <numFmt numFmtId="0" formatCode="General"/>
      <border diagonalUp="0" diagonalDown="0" outline="0">
        <left style="thin">
          <color indexed="64"/>
        </left>
        <right style="thin">
          <color indexed="64"/>
        </right>
        <top style="thin">
          <color indexed="64"/>
        </top>
        <bottom style="thin">
          <color indexed="64"/>
        </bottom>
      </border>
    </dxf>
    <dxf>
      <numFmt numFmtId="164" formatCode="0.0%"/>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border diagonalUp="0" diagonalDown="0">
        <left style="thin">
          <color indexed="64"/>
        </left>
        <right style="thin">
          <color indexed="64"/>
        </right>
        <top style="thin">
          <color indexed="64"/>
        </top>
        <bottom style="thin">
          <color indexed="64"/>
        </bottom>
        <vertical/>
        <horizontal/>
      </border>
    </dxf>
    <dxf>
      <border outline="0">
        <right style="thin">
          <color indexed="64"/>
        </right>
      </border>
    </dxf>
    <dxf>
      <font>
        <b/>
        <i val="0"/>
        <condense val="0"/>
        <extend val="0"/>
      </font>
      <fill>
        <patternFill>
          <bgColor indexed="10"/>
        </patternFill>
      </fill>
    </dxf>
  </dxfs>
  <tableStyles count="0" defaultTableStyle="TableStyleMedium9" defaultPivotStyle="PivotStyleLight16"/>
  <colors>
    <mruColors>
      <color rgb="FFB5170B"/>
      <color rgb="FFCC3300"/>
      <color rgb="FFF7B229"/>
      <color rgb="FFFFFF09"/>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3.xml"/><Relationship Id="rId26" Type="http://schemas.openxmlformats.org/officeDocument/2006/relationships/pivotCacheDefinition" Target="pivotCache/pivotCacheDefinition11.xml"/><Relationship Id="rId3" Type="http://schemas.openxmlformats.org/officeDocument/2006/relationships/worksheet" Target="worksheets/sheet3.xml"/><Relationship Id="rId21" Type="http://schemas.openxmlformats.org/officeDocument/2006/relationships/pivotCacheDefinition" Target="pivotCache/pivotCacheDefinition6.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2.xml"/><Relationship Id="rId25" Type="http://schemas.openxmlformats.org/officeDocument/2006/relationships/pivotCacheDefinition" Target="pivotCache/pivotCacheDefinition10.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pivotCacheDefinition" Target="pivotCache/pivotCacheDefinition5.xml"/><Relationship Id="rId29"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9.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pivotCacheDefinition" Target="pivotCache/pivotCacheDefinition8.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pivotCacheDefinition" Target="pivotCache/pivotCacheDefinition4.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pivotCacheDefinition" Target="pivotCache/pivotCacheDefinition7.xml"/><Relationship Id="rId27" Type="http://schemas.openxmlformats.org/officeDocument/2006/relationships/pivotCacheDefinition" Target="pivotCache/pivotCacheDefinition12.xml"/><Relationship Id="rId30" Type="http://schemas.openxmlformats.org/officeDocument/2006/relationships/styles" Target="styles.xml"/><Relationship Id="rId35" Type="http://schemas.openxmlformats.org/officeDocument/2006/relationships/customXml" Target="../customXml/item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01838478893323"/>
          <c:y val="5.7466863443974163E-2"/>
          <c:w val="0.708692189177904"/>
          <c:h val="0.84063265760751271"/>
        </c:manualLayout>
      </c:layout>
      <c:barChart>
        <c:barDir val="bar"/>
        <c:grouping val="clustered"/>
        <c:varyColors val="0"/>
        <c:ser>
          <c:idx val="1"/>
          <c:order val="0"/>
          <c:spPr>
            <a:gradFill flip="none" rotWithShape="1">
              <a:gsLst>
                <a:gs pos="0">
                  <a:srgbClr val="1F497D">
                    <a:lumMod val="60000"/>
                    <a:lumOff val="40000"/>
                    <a:shade val="30000"/>
                    <a:satMod val="115000"/>
                  </a:srgbClr>
                </a:gs>
                <a:gs pos="50000">
                  <a:srgbClr val="1F497D">
                    <a:lumMod val="60000"/>
                    <a:lumOff val="40000"/>
                    <a:shade val="67500"/>
                    <a:satMod val="115000"/>
                  </a:srgbClr>
                </a:gs>
                <a:gs pos="100000">
                  <a:srgbClr val="1F497D">
                    <a:lumMod val="60000"/>
                    <a:lumOff val="40000"/>
                    <a:shade val="100000"/>
                    <a:satMod val="115000"/>
                  </a:srgbClr>
                </a:gs>
              </a:gsLst>
              <a:lin ang="5400000" scaled="1"/>
              <a:tileRect/>
            </a:gradFill>
            <a:effectLst>
              <a:outerShdw blurRad="50800" dist="38100" dir="2700000" algn="tl" rotWithShape="0">
                <a:prstClr val="black">
                  <a:alpha val="40000"/>
                </a:prstClr>
              </a:outerShdw>
            </a:effectLst>
          </c:spPr>
          <c:invertIfNegative val="0"/>
          <c:dLbls>
            <c:txPr>
              <a:bodyPr/>
              <a:lstStyle/>
              <a:p>
                <a:pPr>
                  <a:defRPr sz="1200"/>
                </a:pPr>
                <a:endParaRPr lang="en-US"/>
              </a:p>
            </c:txPr>
            <c:showLegendKey val="0"/>
            <c:showVal val="1"/>
            <c:showCatName val="0"/>
            <c:showSerName val="0"/>
            <c:showPercent val="0"/>
            <c:showBubbleSize val="0"/>
            <c:showLeaderLines val="0"/>
          </c:dLbls>
          <c:cat>
            <c:strRef>
              <c:f>'Area Data'!$B$18:$B$21</c:f>
              <c:strCache>
                <c:ptCount val="4"/>
                <c:pt idx="0">
                  <c:v>Job Search Assistance</c:v>
                </c:pt>
                <c:pt idx="1">
                  <c:v>Assessment </c:v>
                </c:pt>
                <c:pt idx="2">
                  <c:v>Skill Development</c:v>
                </c:pt>
                <c:pt idx="3">
                  <c:v>Referral to Community Services</c:v>
                </c:pt>
              </c:strCache>
            </c:strRef>
          </c:cat>
          <c:val>
            <c:numRef>
              <c:f>'Area Data'!$C$18:$C$21</c:f>
              <c:numCache>
                <c:formatCode>#,##0</c:formatCode>
                <c:ptCount val="4"/>
                <c:pt idx="0">
                  <c:v>11742</c:v>
                </c:pt>
                <c:pt idx="1">
                  <c:v>5848</c:v>
                </c:pt>
                <c:pt idx="2">
                  <c:v>1323</c:v>
                </c:pt>
                <c:pt idx="3">
                  <c:v>323</c:v>
                </c:pt>
              </c:numCache>
            </c:numRef>
          </c:val>
        </c:ser>
        <c:ser>
          <c:idx val="0"/>
          <c:order val="1"/>
          <c:invertIfNegative val="0"/>
          <c:dLbls>
            <c:txPr>
              <a:bodyPr/>
              <a:lstStyle/>
              <a:p>
                <a:pPr>
                  <a:defRPr sz="1100"/>
                </a:pPr>
                <a:endParaRPr lang="en-US"/>
              </a:p>
            </c:txPr>
            <c:showLegendKey val="0"/>
            <c:showVal val="1"/>
            <c:showCatName val="0"/>
            <c:showSerName val="0"/>
            <c:showPercent val="0"/>
            <c:showBubbleSize val="0"/>
            <c:showLeaderLines val="0"/>
          </c:dLbls>
          <c:cat>
            <c:strRef>
              <c:f>'Area Data'!$B$18:$B$21</c:f>
              <c:strCache>
                <c:ptCount val="4"/>
                <c:pt idx="0">
                  <c:v>Job Search Assistance</c:v>
                </c:pt>
                <c:pt idx="1">
                  <c:v>Assessment </c:v>
                </c:pt>
                <c:pt idx="2">
                  <c:v>Skill Development</c:v>
                </c:pt>
                <c:pt idx="3">
                  <c:v>Referral to Community Services</c:v>
                </c:pt>
              </c:strCache>
            </c:strRef>
          </c:cat>
          <c:val>
            <c:numRef>
              <c:f>'Area Data'!$D$18:$D$21</c:f>
              <c:numCache>
                <c:formatCode>0%</c:formatCode>
                <c:ptCount val="4"/>
                <c:pt idx="0">
                  <c:v>0.5804824995056358</c:v>
                </c:pt>
                <c:pt idx="1">
                  <c:v>0.28910421198338937</c:v>
                </c:pt>
                <c:pt idx="2">
                  <c:v>6.5404389954518485E-2</c:v>
                </c:pt>
                <c:pt idx="3">
                  <c:v>1.5967965196756969E-2</c:v>
                </c:pt>
              </c:numCache>
            </c:numRef>
          </c:val>
        </c:ser>
        <c:dLbls>
          <c:showLegendKey val="0"/>
          <c:showVal val="1"/>
          <c:showCatName val="0"/>
          <c:showSerName val="0"/>
          <c:showPercent val="0"/>
          <c:showBubbleSize val="0"/>
        </c:dLbls>
        <c:gapWidth val="150"/>
        <c:axId val="132569728"/>
        <c:axId val="132575616"/>
      </c:barChart>
      <c:catAx>
        <c:axId val="132569728"/>
        <c:scaling>
          <c:orientation val="minMax"/>
        </c:scaling>
        <c:delete val="0"/>
        <c:axPos val="l"/>
        <c:numFmt formatCode="General" sourceLinked="1"/>
        <c:majorTickMark val="out"/>
        <c:minorTickMark val="none"/>
        <c:tickLblPos val="nextTo"/>
        <c:txPr>
          <a:bodyPr/>
          <a:lstStyle/>
          <a:p>
            <a:pPr>
              <a:defRPr sz="1400">
                <a:effectLst>
                  <a:outerShdw blurRad="50800" dist="38100" dir="8100000" algn="tr" rotWithShape="0">
                    <a:prstClr val="black">
                      <a:alpha val="40000"/>
                    </a:prstClr>
                  </a:outerShdw>
                </a:effectLst>
              </a:defRPr>
            </a:pPr>
            <a:endParaRPr lang="en-US"/>
          </a:p>
        </c:txPr>
        <c:crossAx val="132575616"/>
        <c:crosses val="autoZero"/>
        <c:auto val="1"/>
        <c:lblAlgn val="ctr"/>
        <c:lblOffset val="100"/>
        <c:noMultiLvlLbl val="0"/>
      </c:catAx>
      <c:valAx>
        <c:axId val="132575616"/>
        <c:scaling>
          <c:orientation val="minMax"/>
        </c:scaling>
        <c:delete val="0"/>
        <c:axPos val="b"/>
        <c:majorGridlines/>
        <c:numFmt formatCode="#,##0" sourceLinked="1"/>
        <c:majorTickMark val="out"/>
        <c:minorTickMark val="none"/>
        <c:tickLblPos val="nextTo"/>
        <c:crossAx val="132569728"/>
        <c:crosses val="autoZero"/>
        <c:crossBetween val="between"/>
        <c:majorUnit val="5000"/>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Employer Services</a:t>
            </a:r>
          </a:p>
        </c:rich>
      </c:tx>
      <c:layout/>
      <c:overlay val="0"/>
    </c:title>
    <c:autoTitleDeleted val="0"/>
    <c:plotArea>
      <c:layout>
        <c:manualLayout>
          <c:layoutTarget val="inner"/>
          <c:xMode val="edge"/>
          <c:yMode val="edge"/>
          <c:x val="0.1116752599927559"/>
          <c:y val="0.25120719578635975"/>
          <c:w val="0.62289599998446465"/>
          <c:h val="0.59506376299781283"/>
        </c:manualLayout>
      </c:layout>
      <c:barChart>
        <c:barDir val="col"/>
        <c:grouping val="clustered"/>
        <c:varyColors val="0"/>
        <c:ser>
          <c:idx val="0"/>
          <c:order val="0"/>
          <c:tx>
            <c:v>1 Year Ago</c:v>
          </c:tx>
          <c:spPr>
            <a:solidFill>
              <a:schemeClr val="lt1"/>
            </a:solidFill>
            <a:ln w="38100" cap="flat" cmpd="sng" algn="ctr">
              <a:solidFill>
                <a:schemeClr val="accent1"/>
              </a:solidFill>
              <a:prstDash val="solid"/>
            </a:ln>
            <a:effectLst/>
          </c:spPr>
          <c:invertIfNegative val="0"/>
          <c:dLbls>
            <c:delete val="1"/>
          </c:dLbls>
          <c:cat>
            <c:strRef>
              <c:f>'Area Data'!$B$28:$B$29</c:f>
              <c:strCache>
                <c:ptCount val="2"/>
                <c:pt idx="0">
                  <c:v>WA Job Openings</c:v>
                </c:pt>
                <c:pt idx="1">
                  <c:v>Employers Served</c:v>
                </c:pt>
              </c:strCache>
            </c:strRef>
          </c:cat>
          <c:val>
            <c:numRef>
              <c:f>'State Data'!$D$28:$D$29</c:f>
              <c:numCache>
                <c:formatCode>#,##0</c:formatCode>
                <c:ptCount val="2"/>
                <c:pt idx="0">
                  <c:v>15984</c:v>
                </c:pt>
                <c:pt idx="1">
                  <c:v>7751</c:v>
                </c:pt>
              </c:numCache>
            </c:numRef>
          </c:val>
        </c:ser>
        <c:ser>
          <c:idx val="1"/>
          <c:order val="1"/>
          <c:tx>
            <c:v>Current Quarter</c:v>
          </c:tx>
          <c:spPr>
            <a:solidFill>
              <a:schemeClr val="lt1"/>
            </a:solidFill>
            <a:ln w="38100" cap="flat" cmpd="sng" algn="ctr">
              <a:solidFill>
                <a:schemeClr val="accent3"/>
              </a:solidFill>
              <a:prstDash val="solid"/>
            </a:ln>
            <a:effectLst/>
          </c:spPr>
          <c:invertIfNegative val="0"/>
          <c:dLbls>
            <c:txPr>
              <a:bodyPr/>
              <a:lstStyle/>
              <a:p>
                <a:pPr>
                  <a:defRPr sz="1400" b="1"/>
                </a:pPr>
                <a:endParaRPr lang="en-US"/>
              </a:p>
            </c:txPr>
            <c:showLegendKey val="0"/>
            <c:showVal val="1"/>
            <c:showCatName val="0"/>
            <c:showSerName val="0"/>
            <c:showPercent val="0"/>
            <c:showBubbleSize val="0"/>
            <c:showLeaderLines val="0"/>
          </c:dLbls>
          <c:cat>
            <c:strRef>
              <c:f>'Area Data'!$B$28:$B$29</c:f>
              <c:strCache>
                <c:ptCount val="2"/>
                <c:pt idx="0">
                  <c:v>WA Job Openings</c:v>
                </c:pt>
                <c:pt idx="1">
                  <c:v>Employers Served</c:v>
                </c:pt>
              </c:strCache>
            </c:strRef>
          </c:cat>
          <c:val>
            <c:numRef>
              <c:f>'State Data'!$C$28:$C$29</c:f>
              <c:numCache>
                <c:formatCode>#,##0</c:formatCode>
                <c:ptCount val="2"/>
                <c:pt idx="0">
                  <c:v>14655</c:v>
                </c:pt>
                <c:pt idx="1">
                  <c:v>6396</c:v>
                </c:pt>
              </c:numCache>
            </c:numRef>
          </c:val>
        </c:ser>
        <c:dLbls>
          <c:showLegendKey val="0"/>
          <c:showVal val="1"/>
          <c:showCatName val="0"/>
          <c:showSerName val="0"/>
          <c:showPercent val="0"/>
          <c:showBubbleSize val="0"/>
        </c:dLbls>
        <c:gapWidth val="150"/>
        <c:axId val="133705088"/>
        <c:axId val="133715072"/>
      </c:barChart>
      <c:catAx>
        <c:axId val="133705088"/>
        <c:scaling>
          <c:orientation val="minMax"/>
        </c:scaling>
        <c:delete val="0"/>
        <c:axPos val="b"/>
        <c:majorGridlines/>
        <c:numFmt formatCode="General" sourceLinked="1"/>
        <c:majorTickMark val="out"/>
        <c:minorTickMark val="none"/>
        <c:tickLblPos val="nextTo"/>
        <c:txPr>
          <a:bodyPr/>
          <a:lstStyle/>
          <a:p>
            <a:pPr>
              <a:defRPr b="1"/>
            </a:pPr>
            <a:endParaRPr lang="en-US"/>
          </a:p>
        </c:txPr>
        <c:crossAx val="133715072"/>
        <c:crosses val="autoZero"/>
        <c:auto val="1"/>
        <c:lblAlgn val="ctr"/>
        <c:lblOffset val="100"/>
        <c:noMultiLvlLbl val="0"/>
      </c:catAx>
      <c:valAx>
        <c:axId val="133715072"/>
        <c:scaling>
          <c:orientation val="minMax"/>
        </c:scaling>
        <c:delete val="0"/>
        <c:axPos val="l"/>
        <c:majorGridlines/>
        <c:numFmt formatCode="#,##0" sourceLinked="1"/>
        <c:majorTickMark val="out"/>
        <c:minorTickMark val="none"/>
        <c:tickLblPos val="nextTo"/>
        <c:txPr>
          <a:bodyPr/>
          <a:lstStyle/>
          <a:p>
            <a:pPr>
              <a:defRPr b="0"/>
            </a:pPr>
            <a:endParaRPr lang="en-US"/>
          </a:p>
        </c:txPr>
        <c:crossAx val="133705088"/>
        <c:crosses val="autoZero"/>
        <c:crossBetween val="between"/>
      </c:valAx>
    </c:plotArea>
    <c:legend>
      <c:legendPos val="t"/>
      <c:layout/>
      <c:overlay val="0"/>
      <c:txPr>
        <a:bodyPr/>
        <a:lstStyle/>
        <a:p>
          <a:pPr>
            <a:defRPr sz="1300"/>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Job Orders</a:t>
            </a:r>
          </a:p>
        </c:rich>
      </c:tx>
      <c:layout/>
      <c:overlay val="0"/>
    </c:title>
    <c:autoTitleDeleted val="0"/>
    <c:plotArea>
      <c:layout>
        <c:manualLayout>
          <c:layoutTarget val="inner"/>
          <c:xMode val="edge"/>
          <c:yMode val="edge"/>
          <c:x val="0.45612107658140366"/>
          <c:y val="0.27427104870074043"/>
          <c:w val="0.47611765984873194"/>
          <c:h val="0.61620701956931601"/>
        </c:manualLayout>
      </c:layout>
      <c:barChart>
        <c:barDir val="bar"/>
        <c:grouping val="clustered"/>
        <c:varyColors val="0"/>
        <c:ser>
          <c:idx val="1"/>
          <c:order val="0"/>
          <c:tx>
            <c:v>Current Quarter</c:v>
          </c:tx>
          <c:spPr>
            <a:solidFill>
              <a:schemeClr val="lt1"/>
            </a:solidFill>
            <a:ln w="25400" cap="flat" cmpd="sng" algn="ctr">
              <a:solidFill>
                <a:schemeClr val="accent3"/>
              </a:solidFill>
              <a:prstDash val="solid"/>
            </a:ln>
            <a:effectLst/>
          </c:spPr>
          <c:invertIfNegative val="0"/>
          <c:dLbls>
            <c:txPr>
              <a:bodyPr/>
              <a:lstStyle/>
              <a:p>
                <a:pPr>
                  <a:defRPr sz="1100" b="1"/>
                </a:pPr>
                <a:endParaRPr lang="en-US"/>
              </a:p>
            </c:txPr>
            <c:showLegendKey val="0"/>
            <c:showVal val="1"/>
            <c:showCatName val="0"/>
            <c:showSerName val="0"/>
            <c:showPercent val="0"/>
            <c:showBubbleSize val="0"/>
            <c:showLeaderLines val="0"/>
          </c:dLbls>
          <c:cat>
            <c:strRef>
              <c:f>'State Data'!$B$32:$B$34</c:f>
              <c:strCache>
                <c:ptCount val="3"/>
                <c:pt idx="0">
                  <c:v>% of Job Orders in Top 5 Industries</c:v>
                </c:pt>
                <c:pt idx="1">
                  <c:v>WA Job Order Fill Rate</c:v>
                </c:pt>
                <c:pt idx="2">
                  <c:v>Average  WA Job Order Wage</c:v>
                </c:pt>
              </c:strCache>
            </c:strRef>
          </c:cat>
          <c:val>
            <c:numRef>
              <c:f>'State Data'!$C$32:$C$33</c:f>
              <c:numCache>
                <c:formatCode>0%</c:formatCode>
                <c:ptCount val="2"/>
                <c:pt idx="0">
                  <c:v>0.15923166399446698</c:v>
                </c:pt>
                <c:pt idx="1">
                  <c:v>0.33735926305015351</c:v>
                </c:pt>
              </c:numCache>
            </c:numRef>
          </c:val>
        </c:ser>
        <c:ser>
          <c:idx val="0"/>
          <c:order val="1"/>
          <c:tx>
            <c:v>1 Year Ago</c:v>
          </c:tx>
          <c:spPr>
            <a:solidFill>
              <a:schemeClr val="lt1"/>
            </a:solidFill>
            <a:ln w="38100" cap="flat" cmpd="sng" algn="ctr">
              <a:solidFill>
                <a:schemeClr val="accent1"/>
              </a:solidFill>
              <a:prstDash val="solid"/>
            </a:ln>
            <a:effectLst/>
          </c:spPr>
          <c:invertIfNegative val="0"/>
          <c:dLbls>
            <c:delete val="1"/>
          </c:dLbls>
          <c:cat>
            <c:strRef>
              <c:f>'State Data'!$B$32:$B$34</c:f>
              <c:strCache>
                <c:ptCount val="3"/>
                <c:pt idx="0">
                  <c:v>% of Job Orders in Top 5 Industries</c:v>
                </c:pt>
                <c:pt idx="1">
                  <c:v>WA Job Order Fill Rate</c:v>
                </c:pt>
                <c:pt idx="2">
                  <c:v>Average  WA Job Order Wage</c:v>
                </c:pt>
              </c:strCache>
            </c:strRef>
          </c:cat>
          <c:val>
            <c:numRef>
              <c:f>'State Data'!$D$32:$D$33</c:f>
              <c:numCache>
                <c:formatCode>0%</c:formatCode>
                <c:ptCount val="2"/>
                <c:pt idx="0">
                  <c:v>0.14734931009440813</c:v>
                </c:pt>
                <c:pt idx="1">
                  <c:v>0.43036786786786785</c:v>
                </c:pt>
              </c:numCache>
            </c:numRef>
          </c:val>
        </c:ser>
        <c:dLbls>
          <c:showLegendKey val="0"/>
          <c:showVal val="1"/>
          <c:showCatName val="0"/>
          <c:showSerName val="0"/>
          <c:showPercent val="0"/>
          <c:showBubbleSize val="0"/>
        </c:dLbls>
        <c:gapWidth val="150"/>
        <c:axId val="133744896"/>
        <c:axId val="133750784"/>
      </c:barChart>
      <c:catAx>
        <c:axId val="133744896"/>
        <c:scaling>
          <c:orientation val="minMax"/>
        </c:scaling>
        <c:delete val="0"/>
        <c:axPos val="l"/>
        <c:majorTickMark val="out"/>
        <c:minorTickMark val="none"/>
        <c:tickLblPos val="nextTo"/>
        <c:txPr>
          <a:bodyPr/>
          <a:lstStyle/>
          <a:p>
            <a:pPr>
              <a:defRPr sz="1100" b="1"/>
            </a:pPr>
            <a:endParaRPr lang="en-US"/>
          </a:p>
        </c:txPr>
        <c:crossAx val="133750784"/>
        <c:crosses val="autoZero"/>
        <c:auto val="1"/>
        <c:lblAlgn val="ctr"/>
        <c:lblOffset val="100"/>
        <c:noMultiLvlLbl val="0"/>
      </c:catAx>
      <c:valAx>
        <c:axId val="133750784"/>
        <c:scaling>
          <c:orientation val="minMax"/>
          <c:max val="0.5"/>
          <c:min val="0"/>
        </c:scaling>
        <c:delete val="0"/>
        <c:axPos val="b"/>
        <c:majorGridlines/>
        <c:numFmt formatCode="0%" sourceLinked="1"/>
        <c:majorTickMark val="out"/>
        <c:minorTickMark val="none"/>
        <c:tickLblPos val="nextTo"/>
        <c:txPr>
          <a:bodyPr/>
          <a:lstStyle/>
          <a:p>
            <a:pPr>
              <a:defRPr b="0"/>
            </a:pPr>
            <a:endParaRPr lang="en-US"/>
          </a:p>
        </c:txPr>
        <c:crossAx val="133744896"/>
        <c:crosses val="autoZero"/>
        <c:crossBetween val="between"/>
        <c:majorUnit val="0.25"/>
      </c:valAx>
    </c:plotArea>
    <c:legend>
      <c:legendPos val="t"/>
      <c:layout/>
      <c:overlay val="0"/>
      <c:txPr>
        <a:bodyPr/>
        <a:lstStyle/>
        <a:p>
          <a:pPr>
            <a:defRPr sz="1300"/>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Labor Market, Oct 2010 - Sept 2011</a:t>
            </a:r>
          </a:p>
        </c:rich>
      </c:tx>
      <c:layout/>
      <c:overlay val="0"/>
    </c:title>
    <c:autoTitleDeleted val="0"/>
    <c:plotArea>
      <c:layout>
        <c:manualLayout>
          <c:layoutTarget val="inner"/>
          <c:xMode val="edge"/>
          <c:yMode val="edge"/>
          <c:x val="0.15424642327585344"/>
          <c:y val="0.15513094761459903"/>
          <c:w val="0.74978153356254651"/>
          <c:h val="0.59216462348986043"/>
        </c:manualLayout>
      </c:layout>
      <c:barChart>
        <c:barDir val="col"/>
        <c:grouping val="clustered"/>
        <c:varyColors val="0"/>
        <c:ser>
          <c:idx val="1"/>
          <c:order val="1"/>
          <c:tx>
            <c:v>Employed</c:v>
          </c:tx>
          <c:invertIfNegative val="0"/>
          <c:val>
            <c:numRef>
              <c:f>'State Data'!$G$28:$J$28</c:f>
              <c:numCache>
                <c:formatCode>#,##0</c:formatCode>
                <c:ptCount val="4"/>
                <c:pt idx="0">
                  <c:v>3171083.3333333335</c:v>
                </c:pt>
                <c:pt idx="1">
                  <c:v>3127093.3333333335</c:v>
                </c:pt>
                <c:pt idx="2">
                  <c:v>3158163.3333333335</c:v>
                </c:pt>
                <c:pt idx="3">
                  <c:v>3181750</c:v>
                </c:pt>
              </c:numCache>
            </c:numRef>
          </c:val>
        </c:ser>
        <c:ser>
          <c:idx val="0"/>
          <c:order val="2"/>
          <c:tx>
            <c:v>Labor Force</c:v>
          </c:tx>
          <c:invertIfNegative val="0"/>
          <c:dLbls>
            <c:spPr>
              <a:solidFill>
                <a:schemeClr val="lt1"/>
              </a:solidFill>
              <a:ln w="25400" cap="flat" cmpd="sng" algn="ctr">
                <a:solidFill>
                  <a:schemeClr val="accent1"/>
                </a:solidFill>
                <a:prstDash val="solid"/>
              </a:ln>
              <a:effectLst/>
            </c:spPr>
            <c:txPr>
              <a:bodyPr/>
              <a:lstStyle/>
              <a:p>
                <a:pPr>
                  <a:defRPr sz="1000">
                    <a:solidFill>
                      <a:schemeClr val="dk1"/>
                    </a:solidFill>
                    <a:latin typeface="+mn-lt"/>
                    <a:ea typeface="+mn-ea"/>
                    <a:cs typeface="+mn-cs"/>
                  </a:defRPr>
                </a:pPr>
                <a:endParaRPr lang="en-US"/>
              </a:p>
            </c:txPr>
            <c:dLblPos val="outEnd"/>
            <c:showLegendKey val="0"/>
            <c:showVal val="1"/>
            <c:showCatName val="0"/>
            <c:showSerName val="0"/>
            <c:showPercent val="0"/>
            <c:showBubbleSize val="0"/>
            <c:showLeaderLines val="0"/>
          </c:dLbls>
          <c:val>
            <c:numRef>
              <c:f>'State Data'!$G$30:$J$30</c:f>
              <c:numCache>
                <c:formatCode>#,##0</c:formatCode>
                <c:ptCount val="4"/>
                <c:pt idx="0">
                  <c:v>3504433.3333333335</c:v>
                </c:pt>
                <c:pt idx="1">
                  <c:v>3480916.6666666665</c:v>
                </c:pt>
                <c:pt idx="2">
                  <c:v>3477893.3333333335</c:v>
                </c:pt>
                <c:pt idx="3">
                  <c:v>3490703.3333333335</c:v>
                </c:pt>
              </c:numCache>
            </c:numRef>
          </c:val>
        </c:ser>
        <c:dLbls>
          <c:showLegendKey val="0"/>
          <c:showVal val="0"/>
          <c:showCatName val="0"/>
          <c:showSerName val="0"/>
          <c:showPercent val="0"/>
          <c:showBubbleSize val="0"/>
        </c:dLbls>
        <c:gapWidth val="150"/>
        <c:axId val="134415488"/>
        <c:axId val="134335872"/>
      </c:barChart>
      <c:lineChart>
        <c:grouping val="standard"/>
        <c:varyColors val="0"/>
        <c:ser>
          <c:idx val="10"/>
          <c:order val="0"/>
          <c:tx>
            <c:strRef>
              <c:f>'Area Data'!$F$31</c:f>
              <c:strCache>
                <c:ptCount val="1"/>
                <c:pt idx="0">
                  <c:v>Unemployment Rate</c:v>
                </c:pt>
              </c:strCache>
            </c:strRef>
          </c:tx>
          <c:marker>
            <c:symbol val="diamond"/>
            <c:size val="5"/>
            <c:spPr>
              <a:solidFill>
                <a:schemeClr val="accent1"/>
              </a:solidFill>
            </c:spPr>
          </c:marker>
          <c:dLbls>
            <c:txPr>
              <a:bodyPr/>
              <a:lstStyle/>
              <a:p>
                <a:pPr>
                  <a:defRPr sz="1400" b="1"/>
                </a:pPr>
                <a:endParaRPr lang="en-US"/>
              </a:p>
            </c:txPr>
            <c:dLblPos val="l"/>
            <c:showLegendKey val="0"/>
            <c:showVal val="1"/>
            <c:showCatName val="0"/>
            <c:showSerName val="0"/>
            <c:showPercent val="0"/>
            <c:showBubbleSize val="0"/>
            <c:showLeaderLines val="0"/>
          </c:dLbls>
          <c:cat>
            <c:strRef>
              <c:f>'Area Data'!$G$27:$J$27</c:f>
              <c:strCache>
                <c:ptCount val="4"/>
                <c:pt idx="0">
                  <c:v>PY10 Q2</c:v>
                </c:pt>
                <c:pt idx="1">
                  <c:v>PY10 Q3</c:v>
                </c:pt>
                <c:pt idx="2">
                  <c:v>PY10 Q4</c:v>
                </c:pt>
                <c:pt idx="3">
                  <c:v>PY11 Q1</c:v>
                </c:pt>
              </c:strCache>
            </c:strRef>
          </c:cat>
          <c:val>
            <c:numRef>
              <c:f>'State Data'!$G$31:$J$31</c:f>
              <c:numCache>
                <c:formatCode>0.0%</c:formatCode>
                <c:ptCount val="4"/>
                <c:pt idx="0">
                  <c:v>9.5122368809032368E-2</c:v>
                </c:pt>
                <c:pt idx="1">
                  <c:v>0.10164659692130903</c:v>
                </c:pt>
                <c:pt idx="2">
                  <c:v>9.193208915742096E-2</c:v>
                </c:pt>
                <c:pt idx="3">
                  <c:v>8.8507473660990946E-2</c:v>
                </c:pt>
              </c:numCache>
            </c:numRef>
          </c:val>
          <c:smooth val="0"/>
        </c:ser>
        <c:dLbls>
          <c:showLegendKey val="0"/>
          <c:showVal val="0"/>
          <c:showCatName val="0"/>
          <c:showSerName val="0"/>
          <c:showPercent val="0"/>
          <c:showBubbleSize val="0"/>
        </c:dLbls>
        <c:marker val="1"/>
        <c:smooth val="0"/>
        <c:axId val="134332800"/>
        <c:axId val="134334336"/>
      </c:lineChart>
      <c:catAx>
        <c:axId val="134332800"/>
        <c:scaling>
          <c:orientation val="minMax"/>
        </c:scaling>
        <c:delete val="0"/>
        <c:axPos val="b"/>
        <c:numFmt formatCode="0.00%" sourceLinked="1"/>
        <c:majorTickMark val="out"/>
        <c:minorTickMark val="none"/>
        <c:tickLblPos val="nextTo"/>
        <c:txPr>
          <a:bodyPr/>
          <a:lstStyle/>
          <a:p>
            <a:pPr>
              <a:defRPr sz="1400"/>
            </a:pPr>
            <a:endParaRPr lang="en-US"/>
          </a:p>
        </c:txPr>
        <c:crossAx val="134334336"/>
        <c:crosses val="autoZero"/>
        <c:auto val="1"/>
        <c:lblAlgn val="ctr"/>
        <c:lblOffset val="100"/>
        <c:noMultiLvlLbl val="0"/>
      </c:catAx>
      <c:valAx>
        <c:axId val="134334336"/>
        <c:scaling>
          <c:orientation val="minMax"/>
          <c:min val="0"/>
        </c:scaling>
        <c:delete val="0"/>
        <c:axPos val="l"/>
        <c:majorGridlines/>
        <c:numFmt formatCode="0%" sourceLinked="0"/>
        <c:majorTickMark val="out"/>
        <c:minorTickMark val="none"/>
        <c:tickLblPos val="nextTo"/>
        <c:txPr>
          <a:bodyPr/>
          <a:lstStyle/>
          <a:p>
            <a:pPr>
              <a:defRPr sz="1600"/>
            </a:pPr>
            <a:endParaRPr lang="en-US"/>
          </a:p>
        </c:txPr>
        <c:crossAx val="134332800"/>
        <c:crosses val="autoZero"/>
        <c:crossBetween val="between"/>
      </c:valAx>
      <c:valAx>
        <c:axId val="134335872"/>
        <c:scaling>
          <c:orientation val="minMax"/>
          <c:min val="0"/>
        </c:scaling>
        <c:delete val="0"/>
        <c:axPos val="r"/>
        <c:numFmt formatCode="#,##0" sourceLinked="1"/>
        <c:majorTickMark val="out"/>
        <c:minorTickMark val="none"/>
        <c:tickLblPos val="nextTo"/>
        <c:txPr>
          <a:bodyPr/>
          <a:lstStyle/>
          <a:p>
            <a:pPr>
              <a:defRPr sz="1200"/>
            </a:pPr>
            <a:endParaRPr lang="en-US"/>
          </a:p>
        </c:txPr>
        <c:crossAx val="134415488"/>
        <c:crosses val="max"/>
        <c:crossBetween val="between"/>
      </c:valAx>
      <c:catAx>
        <c:axId val="134415488"/>
        <c:scaling>
          <c:orientation val="minMax"/>
        </c:scaling>
        <c:delete val="1"/>
        <c:axPos val="b"/>
        <c:majorTickMark val="out"/>
        <c:minorTickMark val="none"/>
        <c:tickLblPos val="none"/>
        <c:crossAx val="134335872"/>
        <c:crosses val="autoZero"/>
        <c:auto val="1"/>
        <c:lblAlgn val="ctr"/>
        <c:lblOffset val="100"/>
        <c:noMultiLvlLbl val="0"/>
      </c:catAx>
    </c:plotArea>
    <c:legend>
      <c:legendPos val="b"/>
      <c:layout>
        <c:manualLayout>
          <c:xMode val="edge"/>
          <c:yMode val="edge"/>
          <c:x val="2.5308641975308629E-2"/>
          <c:y val="0.8856373535832297"/>
          <c:w val="0.94938271604938285"/>
          <c:h val="8.8472678779230263E-2"/>
        </c:manualLayout>
      </c:layout>
      <c:overlay val="0"/>
      <c:txPr>
        <a:bodyPr/>
        <a:lstStyle/>
        <a:p>
          <a:pPr>
            <a:defRPr sz="1400"/>
          </a:pPr>
          <a:endParaRPr lang="en-US"/>
        </a:p>
      </c:txPr>
    </c:legend>
    <c:plotVisOnly val="1"/>
    <c:dispBlanksAs val="gap"/>
    <c:showDLblsOverMax val="0"/>
  </c:chart>
  <c:spPr>
    <a:ln>
      <a:solidFill>
        <a:sysClr val="windowText" lastClr="000000"/>
      </a:solidFill>
    </a:ln>
  </c:spPr>
  <c:printSettings>
    <c:headerFooter/>
    <c:pageMargins b="0.75000000000001465" l="0.70000000000000095" r="0.70000000000000095" t="0.75000000000001465" header="0.30000000000000032" footer="0.30000000000000032"/>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2400"/>
            </a:pPr>
            <a:r>
              <a:rPr lang="en-US" sz="2400"/>
              <a:t>All Customers Common Measures</a:t>
            </a:r>
          </a:p>
        </c:rich>
      </c:tx>
      <c:layout/>
      <c:overlay val="0"/>
    </c:title>
    <c:autoTitleDeleted val="0"/>
    <c:plotArea>
      <c:layout>
        <c:manualLayout>
          <c:layoutTarget val="inner"/>
          <c:xMode val="edge"/>
          <c:yMode val="edge"/>
          <c:x val="9.8250977031919207E-2"/>
          <c:y val="0.19580454829838637"/>
          <c:w val="0.7795612601227585"/>
          <c:h val="0.67231622925143397"/>
        </c:manualLayout>
      </c:layout>
      <c:barChart>
        <c:barDir val="col"/>
        <c:grouping val="clustered"/>
        <c:varyColors val="0"/>
        <c:ser>
          <c:idx val="0"/>
          <c:order val="0"/>
          <c:tx>
            <c:strRef>
              <c:f>'Common Measures'!$C$33</c:f>
              <c:strCache>
                <c:ptCount val="1"/>
                <c:pt idx="0">
                  <c:v>Actual</c:v>
                </c:pt>
              </c:strCache>
            </c:strRef>
          </c:tx>
          <c:spPr>
            <a:ln>
              <a:noFill/>
            </a:ln>
            <a:scene3d>
              <a:camera prst="orthographicFront"/>
              <a:lightRig rig="balanced" dir="t">
                <a:rot lat="0" lon="0" rev="8700000"/>
              </a:lightRig>
            </a:scene3d>
            <a:sp3d>
              <a:bevelT w="190500" h="38100"/>
            </a:sp3d>
          </c:spPr>
          <c:invertIfNegative val="0"/>
          <c:dPt>
            <c:idx val="1"/>
            <c:invertIfNegative val="0"/>
            <c:bubble3D val="0"/>
            <c:spPr>
              <a:solidFill>
                <a:schemeClr val="accent2">
                  <a:lumMod val="75000"/>
                </a:schemeClr>
              </a:solidFill>
              <a:ln>
                <a:noFill/>
              </a:ln>
              <a:scene3d>
                <a:camera prst="orthographicFront"/>
                <a:lightRig rig="balanced" dir="t">
                  <a:rot lat="0" lon="0" rev="8700000"/>
                </a:lightRig>
              </a:scene3d>
              <a:sp3d>
                <a:bevelT w="190500" h="38100"/>
              </a:sp3d>
            </c:spPr>
          </c:dPt>
          <c:dLbls>
            <c:dLbl>
              <c:idx val="1"/>
              <c:numFmt formatCode="0%" sourceLinked="0"/>
              <c:spPr>
                <a:solidFill>
                  <a:schemeClr val="lt1"/>
                </a:solidFill>
                <a:ln w="25400" cap="flat" cmpd="sng" algn="ctr">
                  <a:solidFill>
                    <a:schemeClr val="accent2"/>
                  </a:solidFill>
                  <a:prstDash val="solid"/>
                </a:ln>
                <a:effectLst/>
              </c:spPr>
              <c:txPr>
                <a:bodyPr/>
                <a:lstStyle/>
                <a:p>
                  <a:pPr>
                    <a:defRPr sz="2400">
                      <a:solidFill>
                        <a:schemeClr val="dk1"/>
                      </a:solidFill>
                      <a:latin typeface="+mn-lt"/>
                      <a:ea typeface="+mn-ea"/>
                      <a:cs typeface="+mn-cs"/>
                    </a:defRPr>
                  </a:pPr>
                  <a:endParaRPr lang="en-US"/>
                </a:p>
              </c:txPr>
              <c:dLblPos val="ctr"/>
              <c:showLegendKey val="0"/>
              <c:showVal val="1"/>
              <c:showCatName val="0"/>
              <c:showSerName val="0"/>
              <c:showPercent val="0"/>
              <c:showBubbleSize val="0"/>
            </c:dLbl>
            <c:numFmt formatCode="0%" sourceLinked="0"/>
            <c:spPr>
              <a:solidFill>
                <a:schemeClr val="lt1"/>
              </a:solidFill>
              <a:ln w="25400" cap="flat" cmpd="sng" algn="ctr">
                <a:solidFill>
                  <a:schemeClr val="accent1"/>
                </a:solidFill>
                <a:prstDash val="solid"/>
              </a:ln>
              <a:effectLst/>
            </c:spPr>
            <c:txPr>
              <a:bodyPr/>
              <a:lstStyle/>
              <a:p>
                <a:pPr>
                  <a:defRPr sz="2400">
                    <a:solidFill>
                      <a:schemeClr val="dk1"/>
                    </a:solidFill>
                    <a:latin typeface="+mn-lt"/>
                    <a:ea typeface="+mn-ea"/>
                    <a:cs typeface="+mn-cs"/>
                  </a:defRPr>
                </a:pPr>
                <a:endParaRPr lang="en-US"/>
              </a:p>
            </c:txPr>
            <c:dLblPos val="ctr"/>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Measures'!$C$51:$C$53</c:f>
              <c:numCache>
                <c:formatCode>0.0%</c:formatCode>
                <c:ptCount val="3"/>
                <c:pt idx="0">
                  <c:v>0.53557534451022337</c:v>
                </c:pt>
                <c:pt idx="1">
                  <c:v>0.80277335118339033</c:v>
                </c:pt>
              </c:numCache>
            </c:numRef>
          </c:val>
        </c:ser>
        <c:dLbls>
          <c:showLegendKey val="0"/>
          <c:showVal val="0"/>
          <c:showCatName val="0"/>
          <c:showSerName val="0"/>
          <c:showPercent val="0"/>
          <c:showBubbleSize val="0"/>
        </c:dLbls>
        <c:gapWidth val="150"/>
        <c:axId val="134488448"/>
        <c:axId val="134489984"/>
      </c:barChart>
      <c:barChart>
        <c:barDir val="col"/>
        <c:grouping val="clustered"/>
        <c:varyColors val="0"/>
        <c:ser>
          <c:idx val="1"/>
          <c:order val="1"/>
          <c:tx>
            <c:strRef>
              <c:f>'Common Measures'!$D$33</c:f>
              <c:strCache>
                <c:ptCount val="1"/>
                <c:pt idx="0">
                  <c:v>Actual $</c:v>
                </c:pt>
              </c:strCache>
            </c:strRef>
          </c:tx>
          <c:spPr>
            <a:solidFill>
              <a:schemeClr val="accent3">
                <a:lumMod val="75000"/>
              </a:schemeClr>
            </a:solidFill>
            <a:scene3d>
              <a:camera prst="orthographicFront"/>
              <a:lightRig rig="balanced" dir="t">
                <a:rot lat="0" lon="0" rev="8700000"/>
              </a:lightRig>
            </a:scene3d>
            <a:sp3d>
              <a:bevelT w="190500" h="38100"/>
            </a:sp3d>
          </c:spPr>
          <c:invertIfNegative val="0"/>
          <c:dLbls>
            <c:spPr>
              <a:solidFill>
                <a:schemeClr val="lt1"/>
              </a:solidFill>
              <a:ln w="25400" cap="flat" cmpd="sng" algn="ctr">
                <a:solidFill>
                  <a:schemeClr val="accent3"/>
                </a:solidFill>
                <a:prstDash val="solid"/>
              </a:ln>
              <a:effectLst/>
            </c:spPr>
            <c:txPr>
              <a:bodyPr/>
              <a:lstStyle/>
              <a:p>
                <a:pPr>
                  <a:defRPr sz="2400">
                    <a:solidFill>
                      <a:schemeClr val="dk1"/>
                    </a:solidFill>
                    <a:latin typeface="+mn-lt"/>
                    <a:ea typeface="+mn-ea"/>
                    <a:cs typeface="+mn-cs"/>
                  </a:defRPr>
                </a:pPr>
                <a:endParaRPr lang="en-US"/>
              </a:p>
            </c:txPr>
            <c:dLblPos val="ctr"/>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Measures'!$D$51:$D$53</c:f>
              <c:numCache>
                <c:formatCode>0.0%</c:formatCode>
                <c:ptCount val="3"/>
                <c:pt idx="2" formatCode="&quot;$&quot;#,##0">
                  <c:v>14913.625810768826</c:v>
                </c:pt>
              </c:numCache>
            </c:numRef>
          </c:val>
        </c:ser>
        <c:dLbls>
          <c:showLegendKey val="0"/>
          <c:showVal val="0"/>
          <c:showCatName val="0"/>
          <c:showSerName val="0"/>
          <c:showPercent val="0"/>
          <c:showBubbleSize val="0"/>
        </c:dLbls>
        <c:gapWidth val="150"/>
        <c:axId val="134501504"/>
        <c:axId val="134491520"/>
      </c:barChart>
      <c:scatterChart>
        <c:scatterStyle val="lineMarker"/>
        <c:varyColors val="0"/>
        <c:ser>
          <c:idx val="2"/>
          <c:order val="2"/>
          <c:tx>
            <c:strRef>
              <c:f>'Common Measures'!$E$33</c:f>
              <c:strCache>
                <c:ptCount val="1"/>
                <c:pt idx="0">
                  <c:v>Target</c:v>
                </c:pt>
              </c:strCache>
            </c:strRef>
          </c:tx>
          <c:spPr>
            <a:ln w="66675">
              <a:noFill/>
            </a:ln>
          </c:spPr>
          <c:marker>
            <c:symbol val="dash"/>
            <c:size val="20"/>
            <c:spPr>
              <a:solidFill>
                <a:schemeClr val="tx1"/>
              </a:solidFill>
              <a:ln>
                <a:solidFill>
                  <a:schemeClr val="tx1"/>
                </a:solidFill>
              </a:ln>
            </c:spPr>
          </c:marker>
          <c:dLbls>
            <c:dLbl>
              <c:idx val="0"/>
              <c:numFmt formatCode="0%" sourceLinked="0"/>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a:lstStyle/>
                <a:p>
                  <a:pPr>
                    <a:defRPr sz="2400">
                      <a:solidFill>
                        <a:schemeClr val="dk1"/>
                      </a:solidFill>
                      <a:latin typeface="+mn-lt"/>
                      <a:ea typeface="+mn-ea"/>
                      <a:cs typeface="+mn-cs"/>
                    </a:defRPr>
                  </a:pPr>
                  <a:endParaRPr lang="en-US"/>
                </a:p>
              </c:txPr>
              <c:dLblPos val="l"/>
              <c:showLegendKey val="0"/>
              <c:showVal val="1"/>
              <c:showCatName val="0"/>
              <c:showSerName val="0"/>
              <c:showPercent val="0"/>
              <c:showBubbleSize val="0"/>
            </c:dLbl>
            <c:numFmt formatCode="0.0%" sourceLinked="0"/>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a:lstStyle/>
              <a:p>
                <a:pPr>
                  <a:defRPr sz="2400">
                    <a:solidFill>
                      <a:schemeClr val="dk1"/>
                    </a:solidFill>
                    <a:latin typeface="+mn-lt"/>
                    <a:ea typeface="+mn-ea"/>
                    <a:cs typeface="+mn-cs"/>
                  </a:defRPr>
                </a:pPr>
                <a:endParaRPr lang="en-US"/>
              </a:p>
            </c:txPr>
            <c:dLblPos val="l"/>
            <c:showLegendKey val="0"/>
            <c:showVal val="1"/>
            <c:showCatName val="0"/>
            <c:showSerName val="0"/>
            <c:showPercent val="0"/>
            <c:showBubbleSize val="0"/>
            <c:showLeaderLines val="0"/>
          </c:dLbls>
          <c:xVal>
            <c:strRef>
              <c:f>'Common Measures'!$B$34:$B$36</c:f>
              <c:strCache>
                <c:ptCount val="3"/>
                <c:pt idx="0">
                  <c:v>Entered Employment</c:v>
                </c:pt>
                <c:pt idx="1">
                  <c:v>Retention Rate</c:v>
                </c:pt>
                <c:pt idx="2">
                  <c:v>Average Earnings</c:v>
                </c:pt>
              </c:strCache>
            </c:strRef>
          </c:xVal>
          <c:yVal>
            <c:numRef>
              <c:f>'Common Measures'!$E$51:$E$53</c:f>
              <c:numCache>
                <c:formatCode>0.00%</c:formatCode>
                <c:ptCount val="3"/>
                <c:pt idx="0">
                  <c:v>0.52</c:v>
                </c:pt>
                <c:pt idx="1">
                  <c:v>0.76600000000000001</c:v>
                </c:pt>
              </c:numCache>
            </c:numRef>
          </c:yVal>
          <c:smooth val="0"/>
        </c:ser>
        <c:dLbls>
          <c:showLegendKey val="0"/>
          <c:showVal val="0"/>
          <c:showCatName val="0"/>
          <c:showSerName val="0"/>
          <c:showPercent val="0"/>
          <c:showBubbleSize val="0"/>
        </c:dLbls>
        <c:axId val="134488448"/>
        <c:axId val="134489984"/>
      </c:scatterChart>
      <c:scatterChart>
        <c:scatterStyle val="lineMarker"/>
        <c:varyColors val="0"/>
        <c:ser>
          <c:idx val="3"/>
          <c:order val="3"/>
          <c:tx>
            <c:strRef>
              <c:f>'Common Measures'!$F$33</c:f>
              <c:strCache>
                <c:ptCount val="1"/>
                <c:pt idx="0">
                  <c:v>Target $</c:v>
                </c:pt>
              </c:strCache>
            </c:strRef>
          </c:tx>
          <c:spPr>
            <a:ln w="66675">
              <a:solidFill>
                <a:sysClr val="windowText" lastClr="000000"/>
              </a:solidFill>
            </a:ln>
          </c:spPr>
          <c:marker>
            <c:symbol val="dash"/>
            <c:size val="20"/>
            <c:spPr>
              <a:solidFill>
                <a:schemeClr val="tx1"/>
              </a:solidFill>
              <a:ln>
                <a:solidFill>
                  <a:sysClr val="windowText" lastClr="000000"/>
                </a:solidFill>
              </a:ln>
            </c:spPr>
          </c:marker>
          <c:dLbls>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a:lstStyle/>
              <a:p>
                <a:pPr>
                  <a:defRPr sz="2400">
                    <a:solidFill>
                      <a:schemeClr val="dk1"/>
                    </a:solidFill>
                    <a:latin typeface="+mn-lt"/>
                    <a:ea typeface="+mn-ea"/>
                    <a:cs typeface="+mn-cs"/>
                  </a:defRPr>
                </a:pPr>
                <a:endParaRPr lang="en-US"/>
              </a:p>
            </c:txPr>
            <c:dLblPos val="l"/>
            <c:showLegendKey val="0"/>
            <c:showVal val="1"/>
            <c:showCatName val="0"/>
            <c:showSerName val="0"/>
            <c:showPercent val="0"/>
            <c:showBubbleSize val="0"/>
            <c:showLeaderLines val="0"/>
          </c:dLbls>
          <c:xVal>
            <c:strRef>
              <c:f>'Common Measures'!$B$34:$B$36</c:f>
              <c:strCache>
                <c:ptCount val="3"/>
                <c:pt idx="0">
                  <c:v>Entered Employment</c:v>
                </c:pt>
                <c:pt idx="1">
                  <c:v>Retention Rate</c:v>
                </c:pt>
                <c:pt idx="2">
                  <c:v>Average Earnings</c:v>
                </c:pt>
              </c:strCache>
            </c:strRef>
          </c:xVal>
          <c:yVal>
            <c:numRef>
              <c:f>'Common Measures'!$F$51:$F$53</c:f>
              <c:numCache>
                <c:formatCode>General</c:formatCode>
                <c:ptCount val="3"/>
                <c:pt idx="2" formatCode="&quot;$&quot;#,##0">
                  <c:v>13500</c:v>
                </c:pt>
              </c:numCache>
            </c:numRef>
          </c:yVal>
          <c:smooth val="0"/>
        </c:ser>
        <c:dLbls>
          <c:showLegendKey val="0"/>
          <c:showVal val="0"/>
          <c:showCatName val="0"/>
          <c:showSerName val="0"/>
          <c:showPercent val="0"/>
          <c:showBubbleSize val="0"/>
        </c:dLbls>
        <c:axId val="134501504"/>
        <c:axId val="134491520"/>
      </c:scatterChart>
      <c:catAx>
        <c:axId val="134488448"/>
        <c:scaling>
          <c:orientation val="minMax"/>
        </c:scaling>
        <c:delete val="0"/>
        <c:axPos val="b"/>
        <c:majorTickMark val="out"/>
        <c:minorTickMark val="none"/>
        <c:tickLblPos val="nextTo"/>
        <c:txPr>
          <a:bodyPr/>
          <a:lstStyle/>
          <a:p>
            <a:pPr>
              <a:defRPr sz="2000"/>
            </a:pPr>
            <a:endParaRPr lang="en-US"/>
          </a:p>
        </c:txPr>
        <c:crossAx val="134489984"/>
        <c:crosses val="autoZero"/>
        <c:auto val="1"/>
        <c:lblAlgn val="ctr"/>
        <c:lblOffset val="100"/>
        <c:noMultiLvlLbl val="0"/>
      </c:catAx>
      <c:valAx>
        <c:axId val="134489984"/>
        <c:scaling>
          <c:orientation val="minMax"/>
          <c:max val="1"/>
        </c:scaling>
        <c:delete val="0"/>
        <c:axPos val="l"/>
        <c:majorGridlines/>
        <c:numFmt formatCode="0%" sourceLinked="0"/>
        <c:majorTickMark val="out"/>
        <c:minorTickMark val="none"/>
        <c:tickLblPos val="nextTo"/>
        <c:txPr>
          <a:bodyPr/>
          <a:lstStyle/>
          <a:p>
            <a:pPr>
              <a:defRPr sz="1600"/>
            </a:pPr>
            <a:endParaRPr lang="en-US"/>
          </a:p>
        </c:txPr>
        <c:crossAx val="134488448"/>
        <c:crosses val="autoZero"/>
        <c:crossBetween val="between"/>
        <c:majorUnit val="0.25"/>
      </c:valAx>
      <c:valAx>
        <c:axId val="134491520"/>
        <c:scaling>
          <c:orientation val="minMax"/>
          <c:max val="16000"/>
          <c:min val="0"/>
        </c:scaling>
        <c:delete val="0"/>
        <c:axPos val="r"/>
        <c:numFmt formatCode="&quot;$&quot;#,##0" sourceLinked="0"/>
        <c:majorTickMark val="out"/>
        <c:minorTickMark val="none"/>
        <c:tickLblPos val="nextTo"/>
        <c:txPr>
          <a:bodyPr/>
          <a:lstStyle/>
          <a:p>
            <a:pPr>
              <a:defRPr sz="1600"/>
            </a:pPr>
            <a:endParaRPr lang="en-US"/>
          </a:p>
        </c:txPr>
        <c:crossAx val="134501504"/>
        <c:crosses val="max"/>
        <c:crossBetween val="between"/>
        <c:majorUnit val="2000"/>
      </c:valAx>
      <c:catAx>
        <c:axId val="134501504"/>
        <c:scaling>
          <c:orientation val="minMax"/>
        </c:scaling>
        <c:delete val="1"/>
        <c:axPos val="b"/>
        <c:majorTickMark val="out"/>
        <c:minorTickMark val="none"/>
        <c:tickLblPos val="none"/>
        <c:crossAx val="134491520"/>
        <c:crosses val="autoZero"/>
        <c:auto val="1"/>
        <c:lblAlgn val="ctr"/>
        <c:lblOffset val="100"/>
        <c:noMultiLvlLbl val="0"/>
      </c:catAx>
    </c:plotArea>
    <c:plotVisOnly val="1"/>
    <c:dispBlanksAs val="gap"/>
    <c:showDLblsOverMax val="0"/>
  </c:chart>
  <c:printSettings>
    <c:headerFooter/>
    <c:pageMargins b="0.75000000000001465" l="0.70000000000000062" r="0.70000000000000062" t="0.75000000000001465" header="0.30000000000000032" footer="0.30000000000000032"/>
    <c:pageSetup orientation="portrait"/>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All Customers Common Measures Over Time</a:t>
            </a:r>
          </a:p>
        </c:rich>
      </c:tx>
      <c:layout/>
      <c:overlay val="0"/>
    </c:title>
    <c:autoTitleDeleted val="0"/>
    <c:plotArea>
      <c:layout>
        <c:manualLayout>
          <c:layoutTarget val="inner"/>
          <c:xMode val="edge"/>
          <c:yMode val="edge"/>
          <c:x val="0.12548448199413062"/>
          <c:y val="0.16579372249620891"/>
          <c:w val="0.77393180834084385"/>
          <c:h val="0.5875968463699881"/>
        </c:manualLayout>
      </c:layout>
      <c:barChart>
        <c:barDir val="col"/>
        <c:grouping val="clustered"/>
        <c:varyColors val="0"/>
        <c:ser>
          <c:idx val="1"/>
          <c:order val="1"/>
          <c:tx>
            <c:strRef>
              <c:f>'Common Measures'!$D$69</c:f>
              <c:strCache>
                <c:ptCount val="1"/>
                <c:pt idx="0">
                  <c:v>Average Earnings</c:v>
                </c:pt>
              </c:strCache>
            </c:strRef>
          </c:tx>
          <c:spPr>
            <a:solidFill>
              <a:schemeClr val="accent3">
                <a:lumMod val="75000"/>
              </a:schemeClr>
            </a:solidFill>
            <a:scene3d>
              <a:camera prst="orthographicFront"/>
              <a:lightRig rig="threePt" dir="t"/>
            </a:scene3d>
            <a:sp3d>
              <a:bevelT/>
            </a:sp3d>
          </c:spPr>
          <c:invertIfNegative val="0"/>
          <c:dLbls>
            <c:dLbl>
              <c:idx val="0"/>
              <c:layout/>
              <c:showLegendKey val="0"/>
              <c:showVal val="1"/>
              <c:showCatName val="0"/>
              <c:showSerName val="0"/>
              <c:showPercent val="0"/>
              <c:showBubbleSize val="0"/>
            </c:dLbl>
            <c:dLbl>
              <c:idx val="13"/>
              <c:layout/>
              <c:showLegendKey val="0"/>
              <c:showVal val="1"/>
              <c:showCatName val="0"/>
              <c:showSerName val="0"/>
              <c:showPercent val="0"/>
              <c:showBubbleSize val="0"/>
            </c:dLbl>
            <c:numFmt formatCode="&quot;$&quot;#,##0" sourceLinked="0"/>
            <c:spPr>
              <a:solidFill>
                <a:schemeClr val="lt1"/>
              </a:solidFill>
              <a:ln w="25400" cap="flat" cmpd="sng" algn="ctr">
                <a:solidFill>
                  <a:schemeClr val="accent3"/>
                </a:solidFill>
                <a:prstDash val="solid"/>
              </a:ln>
              <a:effectLst/>
            </c:spPr>
            <c:txPr>
              <a:bodyPr/>
              <a:lstStyle/>
              <a:p>
                <a:pPr>
                  <a:defRPr sz="1400">
                    <a:solidFill>
                      <a:schemeClr val="dk1"/>
                    </a:solidFill>
                    <a:latin typeface="+mn-lt"/>
                    <a:ea typeface="+mn-ea"/>
                    <a:cs typeface="+mn-cs"/>
                  </a:defRPr>
                </a:pPr>
                <a:endParaRPr lang="en-US"/>
              </a:p>
            </c:txPr>
            <c:showLegendKey val="0"/>
            <c:showVal val="0"/>
            <c:showCatName val="0"/>
            <c:showSerName val="0"/>
            <c:showPercent val="0"/>
            <c:showBubbleSize val="0"/>
          </c:dLbls>
          <c:cat>
            <c:strRef>
              <c:f>'Common Measures'!$B$77:$B$89</c:f>
              <c:strCache>
                <c:ptCount val="13"/>
                <c:pt idx="0">
                  <c:v>2008 Q2</c:v>
                </c:pt>
                <c:pt idx="1">
                  <c:v>2008 Q3</c:v>
                </c:pt>
                <c:pt idx="2">
                  <c:v>2008 Q4</c:v>
                </c:pt>
                <c:pt idx="3">
                  <c:v>2009 Q1</c:v>
                </c:pt>
                <c:pt idx="4">
                  <c:v>2009 Q2</c:v>
                </c:pt>
                <c:pt idx="5">
                  <c:v>2009 Q3</c:v>
                </c:pt>
                <c:pt idx="6">
                  <c:v>2009 Q4</c:v>
                </c:pt>
                <c:pt idx="7">
                  <c:v>2010 Q1</c:v>
                </c:pt>
                <c:pt idx="8">
                  <c:v>2010 Q2</c:v>
                </c:pt>
                <c:pt idx="9">
                  <c:v>2010 Q3</c:v>
                </c:pt>
                <c:pt idx="10">
                  <c:v>2010 Q4</c:v>
                </c:pt>
                <c:pt idx="11">
                  <c:v>2011 Q1</c:v>
                </c:pt>
                <c:pt idx="12">
                  <c:v>2011 Q2</c:v>
                </c:pt>
              </c:strCache>
            </c:strRef>
          </c:cat>
          <c:val>
            <c:numRef>
              <c:f>'Common Measures'!$D$78:$D$91</c:f>
              <c:numCache>
                <c:formatCode>"$"#,##0</c:formatCode>
                <c:ptCount val="14"/>
                <c:pt idx="0">
                  <c:v>14403</c:v>
                </c:pt>
                <c:pt idx="1">
                  <c:v>14370</c:v>
                </c:pt>
                <c:pt idx="2">
                  <c:v>14382</c:v>
                </c:pt>
                <c:pt idx="3">
                  <c:v>14233</c:v>
                </c:pt>
                <c:pt idx="4">
                  <c:v>14114</c:v>
                </c:pt>
                <c:pt idx="5">
                  <c:v>14148</c:v>
                </c:pt>
                <c:pt idx="6">
                  <c:v>14157</c:v>
                </c:pt>
                <c:pt idx="7">
                  <c:v>14223</c:v>
                </c:pt>
                <c:pt idx="8">
                  <c:v>14339</c:v>
                </c:pt>
                <c:pt idx="9">
                  <c:v>14434</c:v>
                </c:pt>
                <c:pt idx="10">
                  <c:v>14320</c:v>
                </c:pt>
                <c:pt idx="11">
                  <c:v>14447</c:v>
                </c:pt>
                <c:pt idx="12" formatCode="_(&quot;$&quot;* #,##0.00_);_(&quot;$&quot;* \(#,##0.00\);_(&quot;$&quot;* &quot;-&quot;??_);_(@_)">
                  <c:v>14676.63</c:v>
                </c:pt>
                <c:pt idx="13" formatCode="_(&quot;$&quot;* #,##0.00_);_(&quot;$&quot;* \(#,##0.00\);_(&quot;$&quot;* &quot;-&quot;??_);_(@_)">
                  <c:v>14913.625810768826</c:v>
                </c:pt>
              </c:numCache>
            </c:numRef>
          </c:val>
        </c:ser>
        <c:dLbls>
          <c:showLegendKey val="0"/>
          <c:showVal val="1"/>
          <c:showCatName val="0"/>
          <c:showSerName val="0"/>
          <c:showPercent val="0"/>
          <c:showBubbleSize val="0"/>
        </c:dLbls>
        <c:gapWidth val="150"/>
        <c:axId val="134551808"/>
        <c:axId val="134550272"/>
      </c:barChart>
      <c:lineChart>
        <c:grouping val="standard"/>
        <c:varyColors val="0"/>
        <c:ser>
          <c:idx val="0"/>
          <c:order val="0"/>
          <c:tx>
            <c:strRef>
              <c:f>'Common Measures'!$C$69</c:f>
              <c:strCache>
                <c:ptCount val="1"/>
                <c:pt idx="0">
                  <c:v>Entered Employment</c:v>
                </c:pt>
              </c:strCache>
            </c:strRef>
          </c:tx>
          <c:spPr>
            <a:ln w="57150">
              <a:solidFill>
                <a:schemeClr val="accent1">
                  <a:lumMod val="75000"/>
                </a:schemeClr>
              </a:solidFill>
            </a:ln>
          </c:spPr>
          <c:marker>
            <c:symbol val="none"/>
          </c:marker>
          <c:dLbls>
            <c:dLbl>
              <c:idx val="0"/>
              <c:layout/>
              <c:showLegendKey val="0"/>
              <c:showVal val="1"/>
              <c:showCatName val="0"/>
              <c:showSerName val="0"/>
              <c:showPercent val="0"/>
              <c:showBubbleSize val="0"/>
            </c:dLbl>
            <c:dLbl>
              <c:idx val="13"/>
              <c:layout/>
              <c:dLblPos val="l"/>
              <c:showLegendKey val="0"/>
              <c:showVal val="1"/>
              <c:showCatName val="0"/>
              <c:showSerName val="0"/>
              <c:showPercent val="0"/>
              <c:showBubbleSize val="0"/>
            </c:dLbl>
            <c:spPr>
              <a:solidFill>
                <a:schemeClr val="lt1"/>
              </a:solidFill>
              <a:ln w="25400" cap="flat" cmpd="sng" algn="ctr">
                <a:solidFill>
                  <a:schemeClr val="accent1"/>
                </a:solidFill>
                <a:prstDash val="solid"/>
              </a:ln>
              <a:effectLst/>
            </c:spPr>
            <c:txPr>
              <a:bodyPr/>
              <a:lstStyle/>
              <a:p>
                <a:pPr>
                  <a:defRPr sz="1400">
                    <a:solidFill>
                      <a:schemeClr val="dk1"/>
                    </a:solidFill>
                    <a:latin typeface="+mn-lt"/>
                    <a:ea typeface="+mn-ea"/>
                    <a:cs typeface="+mn-cs"/>
                  </a:defRPr>
                </a:pPr>
                <a:endParaRPr lang="en-US"/>
              </a:p>
            </c:txPr>
            <c:showLegendKey val="0"/>
            <c:showVal val="0"/>
            <c:showCatName val="0"/>
            <c:showSerName val="0"/>
            <c:showPercent val="0"/>
            <c:showBubbleSize val="0"/>
          </c:dLbls>
          <c:cat>
            <c:strRef>
              <c:f>'Common Measures'!$B$78:$B$91</c:f>
              <c:strCache>
                <c:ptCount val="14"/>
                <c:pt idx="0">
                  <c:v>2008 Q3</c:v>
                </c:pt>
                <c:pt idx="1">
                  <c:v>2008 Q4</c:v>
                </c:pt>
                <c:pt idx="2">
                  <c:v>2009 Q1</c:v>
                </c:pt>
                <c:pt idx="3">
                  <c:v>2009 Q2</c:v>
                </c:pt>
                <c:pt idx="4">
                  <c:v>2009 Q3</c:v>
                </c:pt>
                <c:pt idx="5">
                  <c:v>2009 Q4</c:v>
                </c:pt>
                <c:pt idx="6">
                  <c:v>2010 Q1</c:v>
                </c:pt>
                <c:pt idx="7">
                  <c:v>2010 Q2</c:v>
                </c:pt>
                <c:pt idx="8">
                  <c:v>2010 Q3</c:v>
                </c:pt>
                <c:pt idx="9">
                  <c:v>2010 Q4</c:v>
                </c:pt>
                <c:pt idx="10">
                  <c:v>2011 Q1</c:v>
                </c:pt>
                <c:pt idx="11">
                  <c:v>2011 Q2</c:v>
                </c:pt>
                <c:pt idx="12">
                  <c:v>2011 Q3</c:v>
                </c:pt>
                <c:pt idx="13">
                  <c:v>2011 Q4</c:v>
                </c:pt>
              </c:strCache>
            </c:strRef>
          </c:cat>
          <c:val>
            <c:numRef>
              <c:f>'Common Measures'!$C$78:$C$91</c:f>
              <c:numCache>
                <c:formatCode>0%</c:formatCode>
                <c:ptCount val="14"/>
                <c:pt idx="0">
                  <c:v>0.68748367293625912</c:v>
                </c:pt>
                <c:pt idx="1">
                  <c:v>0.6644409294163578</c:v>
                </c:pt>
                <c:pt idx="2">
                  <c:v>0.62050102010621566</c:v>
                </c:pt>
                <c:pt idx="3">
                  <c:v>0.57360719677446481</c:v>
                </c:pt>
                <c:pt idx="4">
                  <c:v>0.53713615991776253</c:v>
                </c:pt>
                <c:pt idx="5">
                  <c:v>0.50865471498747639</c:v>
                </c:pt>
                <c:pt idx="6">
                  <c:v>0.49139417396953489</c:v>
                </c:pt>
                <c:pt idx="7">
                  <c:v>0.48946144515131129</c:v>
                </c:pt>
                <c:pt idx="8">
                  <c:v>0.49110921365103932</c:v>
                </c:pt>
                <c:pt idx="9">
                  <c:v>0.49817861729926038</c:v>
                </c:pt>
                <c:pt idx="10">
                  <c:v>0.51652970195023207</c:v>
                </c:pt>
                <c:pt idx="11">
                  <c:v>0.51652970195023207</c:v>
                </c:pt>
                <c:pt idx="12">
                  <c:v>0.53</c:v>
                </c:pt>
                <c:pt idx="13">
                  <c:v>0.53557534451022304</c:v>
                </c:pt>
              </c:numCache>
            </c:numRef>
          </c:val>
          <c:smooth val="0"/>
        </c:ser>
        <c:ser>
          <c:idx val="2"/>
          <c:order val="2"/>
          <c:tx>
            <c:strRef>
              <c:f>'Common Measures'!$E$69</c:f>
              <c:strCache>
                <c:ptCount val="1"/>
                <c:pt idx="0">
                  <c:v>Retention </c:v>
                </c:pt>
              </c:strCache>
            </c:strRef>
          </c:tx>
          <c:spPr>
            <a:ln w="57150">
              <a:solidFill>
                <a:schemeClr val="accent2">
                  <a:lumMod val="75000"/>
                </a:schemeClr>
              </a:solidFill>
            </a:ln>
          </c:spPr>
          <c:marker>
            <c:symbol val="none"/>
          </c:marker>
          <c:dLbls>
            <c:dLbl>
              <c:idx val="0"/>
              <c:layout/>
              <c:dLblPos val="l"/>
              <c:showLegendKey val="0"/>
              <c:showVal val="1"/>
              <c:showCatName val="0"/>
              <c:showSerName val="0"/>
              <c:showPercent val="0"/>
              <c:showBubbleSize val="0"/>
            </c:dLbl>
            <c:dLbl>
              <c:idx val="13"/>
              <c:layout/>
              <c:dLblPos val="l"/>
              <c:showLegendKey val="0"/>
              <c:showVal val="1"/>
              <c:showCatName val="0"/>
              <c:showSerName val="0"/>
              <c:showPercent val="0"/>
              <c:showBubbleSize val="0"/>
            </c:dLbl>
            <c:spPr>
              <a:solidFill>
                <a:schemeClr val="lt1"/>
              </a:solidFill>
              <a:ln w="25400" cap="flat" cmpd="sng" algn="ctr">
                <a:solidFill>
                  <a:schemeClr val="accent2"/>
                </a:solidFill>
                <a:prstDash val="solid"/>
              </a:ln>
              <a:effectLst/>
            </c:spPr>
            <c:txPr>
              <a:bodyPr/>
              <a:lstStyle/>
              <a:p>
                <a:pPr>
                  <a:defRPr sz="1400">
                    <a:solidFill>
                      <a:schemeClr val="dk1"/>
                    </a:solidFill>
                    <a:latin typeface="+mn-lt"/>
                    <a:ea typeface="+mn-ea"/>
                    <a:cs typeface="+mn-cs"/>
                  </a:defRPr>
                </a:pPr>
                <a:endParaRPr lang="en-US"/>
              </a:p>
            </c:txPr>
            <c:dLblPos val="l"/>
            <c:showLegendKey val="0"/>
            <c:showVal val="0"/>
            <c:showCatName val="0"/>
            <c:showSerName val="0"/>
            <c:showPercent val="0"/>
            <c:showBubbleSize val="0"/>
          </c:dLbls>
          <c:cat>
            <c:strRef>
              <c:f>'Common Measures'!$B$78:$B$91</c:f>
              <c:strCache>
                <c:ptCount val="14"/>
                <c:pt idx="0">
                  <c:v>2008 Q3</c:v>
                </c:pt>
                <c:pt idx="1">
                  <c:v>2008 Q4</c:v>
                </c:pt>
                <c:pt idx="2">
                  <c:v>2009 Q1</c:v>
                </c:pt>
                <c:pt idx="3">
                  <c:v>2009 Q2</c:v>
                </c:pt>
                <c:pt idx="4">
                  <c:v>2009 Q3</c:v>
                </c:pt>
                <c:pt idx="5">
                  <c:v>2009 Q4</c:v>
                </c:pt>
                <c:pt idx="6">
                  <c:v>2010 Q1</c:v>
                </c:pt>
                <c:pt idx="7">
                  <c:v>2010 Q2</c:v>
                </c:pt>
                <c:pt idx="8">
                  <c:v>2010 Q3</c:v>
                </c:pt>
                <c:pt idx="9">
                  <c:v>2010 Q4</c:v>
                </c:pt>
                <c:pt idx="10">
                  <c:v>2011 Q1</c:v>
                </c:pt>
                <c:pt idx="11">
                  <c:v>2011 Q2</c:v>
                </c:pt>
                <c:pt idx="12">
                  <c:v>2011 Q3</c:v>
                </c:pt>
                <c:pt idx="13">
                  <c:v>2011 Q4</c:v>
                </c:pt>
              </c:strCache>
            </c:strRef>
          </c:cat>
          <c:val>
            <c:numRef>
              <c:f>'Common Measures'!$E$78:$E$91</c:f>
              <c:numCache>
                <c:formatCode>0%</c:formatCode>
                <c:ptCount val="14"/>
                <c:pt idx="0">
                  <c:v>0.83</c:v>
                </c:pt>
                <c:pt idx="1">
                  <c:v>0.82</c:v>
                </c:pt>
                <c:pt idx="2">
                  <c:v>0.81</c:v>
                </c:pt>
                <c:pt idx="3">
                  <c:v>0.79</c:v>
                </c:pt>
                <c:pt idx="4">
                  <c:v>0.78</c:v>
                </c:pt>
                <c:pt idx="5">
                  <c:v>0.77</c:v>
                </c:pt>
                <c:pt idx="6">
                  <c:v>0.76</c:v>
                </c:pt>
                <c:pt idx="7">
                  <c:v>0.77</c:v>
                </c:pt>
                <c:pt idx="8">
                  <c:v>0.77</c:v>
                </c:pt>
                <c:pt idx="9">
                  <c:v>0.78</c:v>
                </c:pt>
                <c:pt idx="10">
                  <c:v>0.78</c:v>
                </c:pt>
                <c:pt idx="11">
                  <c:v>0.79</c:v>
                </c:pt>
                <c:pt idx="12">
                  <c:v>0.79900000000000004</c:v>
                </c:pt>
                <c:pt idx="13">
                  <c:v>0.80277335118339033</c:v>
                </c:pt>
              </c:numCache>
            </c:numRef>
          </c:val>
          <c:smooth val="0"/>
        </c:ser>
        <c:dLbls>
          <c:showLegendKey val="0"/>
          <c:showVal val="1"/>
          <c:showCatName val="0"/>
          <c:showSerName val="0"/>
          <c:showPercent val="0"/>
          <c:showBubbleSize val="0"/>
        </c:dLbls>
        <c:marker val="1"/>
        <c:smooth val="0"/>
        <c:axId val="134536192"/>
        <c:axId val="134534656"/>
      </c:lineChart>
      <c:valAx>
        <c:axId val="134534656"/>
        <c:scaling>
          <c:orientation val="minMax"/>
          <c:max val="1"/>
          <c:min val="0"/>
        </c:scaling>
        <c:delete val="0"/>
        <c:axPos val="r"/>
        <c:numFmt formatCode="0%" sourceLinked="1"/>
        <c:majorTickMark val="out"/>
        <c:minorTickMark val="none"/>
        <c:tickLblPos val="nextTo"/>
        <c:crossAx val="134536192"/>
        <c:crosses val="max"/>
        <c:crossBetween val="between"/>
        <c:majorUnit val="0.2"/>
      </c:valAx>
      <c:catAx>
        <c:axId val="134536192"/>
        <c:scaling>
          <c:orientation val="minMax"/>
        </c:scaling>
        <c:delete val="0"/>
        <c:axPos val="b"/>
        <c:majorTickMark val="out"/>
        <c:minorTickMark val="none"/>
        <c:tickLblPos val="nextTo"/>
        <c:crossAx val="134534656"/>
        <c:crosses val="autoZero"/>
        <c:auto val="1"/>
        <c:lblAlgn val="ctr"/>
        <c:lblOffset val="100"/>
        <c:noMultiLvlLbl val="0"/>
      </c:catAx>
      <c:valAx>
        <c:axId val="134550272"/>
        <c:scaling>
          <c:orientation val="minMax"/>
          <c:min val="0"/>
        </c:scaling>
        <c:delete val="0"/>
        <c:axPos val="l"/>
        <c:numFmt formatCode="&quot;$&quot;#,##0" sourceLinked="1"/>
        <c:majorTickMark val="out"/>
        <c:minorTickMark val="none"/>
        <c:tickLblPos val="nextTo"/>
        <c:crossAx val="134551808"/>
        <c:crosses val="autoZero"/>
        <c:crossBetween val="between"/>
      </c:valAx>
      <c:catAx>
        <c:axId val="134551808"/>
        <c:scaling>
          <c:orientation val="minMax"/>
        </c:scaling>
        <c:delete val="1"/>
        <c:axPos val="b"/>
        <c:majorTickMark val="out"/>
        <c:minorTickMark val="none"/>
        <c:tickLblPos val="none"/>
        <c:crossAx val="134550272"/>
        <c:crosses val="autoZero"/>
        <c:auto val="1"/>
        <c:lblAlgn val="ctr"/>
        <c:lblOffset val="100"/>
        <c:noMultiLvlLbl val="0"/>
      </c:catAx>
    </c:plotArea>
    <c:legend>
      <c:legendPos val="b"/>
      <c:layout/>
      <c:overlay val="0"/>
      <c:txPr>
        <a:bodyPr/>
        <a:lstStyle/>
        <a:p>
          <a:pPr>
            <a:defRPr sz="1400"/>
          </a:pPr>
          <a:endParaRPr lang="en-US"/>
        </a:p>
      </c:txPr>
    </c:legend>
    <c:plotVisOnly val="1"/>
    <c:dispBlanksAs val="gap"/>
    <c:showDLblsOverMax val="0"/>
  </c:chart>
  <c:spPr>
    <a:ln>
      <a:solidFill>
        <a:schemeClr val="tx1"/>
      </a:solidFill>
    </a:ln>
  </c:spPr>
  <c:printSettings>
    <c:headerFooter/>
    <c:pageMargins b="0.75000000000001021" l="0.70000000000000062" r="0.70000000000000062" t="0.75000000000001021" header="0.30000000000000032" footer="0.30000000000000032"/>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Wagner-Peyser</a:t>
            </a:r>
          </a:p>
        </c:rich>
      </c:tx>
      <c:overlay val="0"/>
    </c:title>
    <c:autoTitleDeleted val="0"/>
    <c:plotArea>
      <c:layout/>
      <c:barChart>
        <c:barDir val="col"/>
        <c:grouping val="clustered"/>
        <c:varyColors val="0"/>
        <c:ser>
          <c:idx val="0"/>
          <c:order val="0"/>
          <c:tx>
            <c:strRef>
              <c:f>'Common Measures'!$C$33</c:f>
              <c:strCache>
                <c:ptCount val="1"/>
                <c:pt idx="0">
                  <c:v>Actual</c:v>
                </c:pt>
              </c:strCache>
            </c:strRef>
          </c:tx>
          <c:invertIfNegative val="0"/>
          <c:dLbls>
            <c:dLblPos val="outEnd"/>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Measures'!$C$34:$C$36</c:f>
              <c:numCache>
                <c:formatCode>0.0%</c:formatCode>
                <c:ptCount val="3"/>
                <c:pt idx="0">
                  <c:v>0.49042389599092873</c:v>
                </c:pt>
                <c:pt idx="1">
                  <c:v>0.81298826737876762</c:v>
                </c:pt>
              </c:numCache>
            </c:numRef>
          </c:val>
        </c:ser>
        <c:dLbls>
          <c:showLegendKey val="0"/>
          <c:showVal val="0"/>
          <c:showCatName val="0"/>
          <c:showSerName val="0"/>
          <c:showPercent val="0"/>
          <c:showBubbleSize val="0"/>
        </c:dLbls>
        <c:gapWidth val="150"/>
        <c:axId val="108349696"/>
        <c:axId val="108359680"/>
      </c:barChart>
      <c:barChart>
        <c:barDir val="col"/>
        <c:grouping val="clustered"/>
        <c:varyColors val="0"/>
        <c:ser>
          <c:idx val="1"/>
          <c:order val="1"/>
          <c:tx>
            <c:strRef>
              <c:f>'Common Measures'!$D$33</c:f>
              <c:strCache>
                <c:ptCount val="1"/>
                <c:pt idx="0">
                  <c:v>Actual $</c:v>
                </c:pt>
              </c:strCache>
            </c:strRef>
          </c:tx>
          <c:invertIfNegative val="0"/>
          <c:dLbls>
            <c:dLblPos val="outEnd"/>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Measures'!$D$34:$D$36</c:f>
              <c:numCache>
                <c:formatCode>General</c:formatCode>
                <c:ptCount val="3"/>
                <c:pt idx="2" formatCode="&quot;$&quot;#,##0">
                  <c:v>18358.222889014403</c:v>
                </c:pt>
              </c:numCache>
            </c:numRef>
          </c:val>
        </c:ser>
        <c:dLbls>
          <c:showLegendKey val="0"/>
          <c:showVal val="0"/>
          <c:showCatName val="0"/>
          <c:showSerName val="0"/>
          <c:showPercent val="0"/>
          <c:showBubbleSize val="0"/>
        </c:dLbls>
        <c:gapWidth val="150"/>
        <c:axId val="108362752"/>
        <c:axId val="108361216"/>
      </c:barChart>
      <c:scatterChart>
        <c:scatterStyle val="lineMarker"/>
        <c:varyColors val="0"/>
        <c:ser>
          <c:idx val="2"/>
          <c:order val="2"/>
          <c:tx>
            <c:strRef>
              <c:f>'Common Measures'!$E$33</c:f>
              <c:strCache>
                <c:ptCount val="1"/>
                <c:pt idx="0">
                  <c:v>Target</c:v>
                </c:pt>
              </c:strCache>
            </c:strRef>
          </c:tx>
          <c:spPr>
            <a:ln w="28575">
              <a:noFill/>
            </a:ln>
          </c:spPr>
          <c:marker>
            <c:symbol val="dash"/>
            <c:size val="30"/>
          </c:marker>
          <c:dLbls>
            <c:dLblPos val="l"/>
            <c:showLegendKey val="0"/>
            <c:showVal val="1"/>
            <c:showCatName val="0"/>
            <c:showSerName val="0"/>
            <c:showPercent val="0"/>
            <c:showBubbleSize val="0"/>
            <c:showLeaderLines val="0"/>
          </c:dLbls>
          <c:xVal>
            <c:strRef>
              <c:f>'Common Measures'!$B$34:$B$36</c:f>
              <c:strCache>
                <c:ptCount val="3"/>
                <c:pt idx="0">
                  <c:v>Entered Employment</c:v>
                </c:pt>
                <c:pt idx="1">
                  <c:v>Retention Rate</c:v>
                </c:pt>
                <c:pt idx="2">
                  <c:v>Average Earnings</c:v>
                </c:pt>
              </c:strCache>
            </c:strRef>
          </c:xVal>
          <c:yVal>
            <c:numRef>
              <c:f>'Common Measures'!$E$34:$E$36</c:f>
              <c:numCache>
                <c:formatCode>0.00%</c:formatCode>
                <c:ptCount val="3"/>
                <c:pt idx="0">
                  <c:v>0.52</c:v>
                </c:pt>
                <c:pt idx="1">
                  <c:v>0.76600000000000001</c:v>
                </c:pt>
              </c:numCache>
            </c:numRef>
          </c:yVal>
          <c:smooth val="0"/>
        </c:ser>
        <c:dLbls>
          <c:showLegendKey val="0"/>
          <c:showVal val="0"/>
          <c:showCatName val="0"/>
          <c:showSerName val="0"/>
          <c:showPercent val="0"/>
          <c:showBubbleSize val="0"/>
        </c:dLbls>
        <c:axId val="108349696"/>
        <c:axId val="108359680"/>
      </c:scatterChart>
      <c:scatterChart>
        <c:scatterStyle val="lineMarker"/>
        <c:varyColors val="0"/>
        <c:ser>
          <c:idx val="3"/>
          <c:order val="3"/>
          <c:tx>
            <c:strRef>
              <c:f>'Common Measures'!$F$33</c:f>
              <c:strCache>
                <c:ptCount val="1"/>
                <c:pt idx="0">
                  <c:v>Target $</c:v>
                </c:pt>
              </c:strCache>
            </c:strRef>
          </c:tx>
          <c:spPr>
            <a:ln w="28575">
              <a:noFill/>
            </a:ln>
          </c:spPr>
          <c:marker>
            <c:symbol val="dash"/>
            <c:size val="30"/>
            <c:spPr>
              <a:solidFill>
                <a:srgbClr val="9BBB59">
                  <a:lumMod val="75000"/>
                </a:srgbClr>
              </a:solidFill>
              <a:ln w="0">
                <a:noFill/>
              </a:ln>
            </c:spPr>
          </c:marker>
          <c:dLbls>
            <c:dLblPos val="l"/>
            <c:showLegendKey val="0"/>
            <c:showVal val="1"/>
            <c:showCatName val="0"/>
            <c:showSerName val="0"/>
            <c:showPercent val="0"/>
            <c:showBubbleSize val="0"/>
            <c:showLeaderLines val="0"/>
          </c:dLbls>
          <c:xVal>
            <c:strRef>
              <c:f>'Common Measures'!$B$34:$B$36</c:f>
              <c:strCache>
                <c:ptCount val="3"/>
                <c:pt idx="0">
                  <c:v>Entered Employment</c:v>
                </c:pt>
                <c:pt idx="1">
                  <c:v>Retention Rate</c:v>
                </c:pt>
                <c:pt idx="2">
                  <c:v>Average Earnings</c:v>
                </c:pt>
              </c:strCache>
            </c:strRef>
          </c:xVal>
          <c:yVal>
            <c:numRef>
              <c:f>'Common Measures'!$F$34:$F$36</c:f>
              <c:numCache>
                <c:formatCode>General</c:formatCode>
                <c:ptCount val="3"/>
                <c:pt idx="2" formatCode="&quot;$&quot;#,##0">
                  <c:v>13500</c:v>
                </c:pt>
              </c:numCache>
            </c:numRef>
          </c:yVal>
          <c:smooth val="0"/>
        </c:ser>
        <c:dLbls>
          <c:showLegendKey val="0"/>
          <c:showVal val="0"/>
          <c:showCatName val="0"/>
          <c:showSerName val="0"/>
          <c:showPercent val="0"/>
          <c:showBubbleSize val="0"/>
        </c:dLbls>
        <c:axId val="108362752"/>
        <c:axId val="108361216"/>
      </c:scatterChart>
      <c:catAx>
        <c:axId val="108349696"/>
        <c:scaling>
          <c:orientation val="minMax"/>
        </c:scaling>
        <c:delete val="0"/>
        <c:axPos val="b"/>
        <c:majorTickMark val="out"/>
        <c:minorTickMark val="none"/>
        <c:tickLblPos val="nextTo"/>
        <c:crossAx val="108359680"/>
        <c:crosses val="autoZero"/>
        <c:auto val="1"/>
        <c:lblAlgn val="ctr"/>
        <c:lblOffset val="100"/>
        <c:noMultiLvlLbl val="0"/>
      </c:catAx>
      <c:valAx>
        <c:axId val="108359680"/>
        <c:scaling>
          <c:orientation val="minMax"/>
          <c:max val="1"/>
        </c:scaling>
        <c:delete val="0"/>
        <c:axPos val="l"/>
        <c:majorGridlines/>
        <c:numFmt formatCode="0%" sourceLinked="0"/>
        <c:majorTickMark val="out"/>
        <c:minorTickMark val="none"/>
        <c:tickLblPos val="nextTo"/>
        <c:crossAx val="108349696"/>
        <c:crosses val="autoZero"/>
        <c:crossBetween val="between"/>
      </c:valAx>
      <c:valAx>
        <c:axId val="108361216"/>
        <c:scaling>
          <c:orientation val="minMax"/>
          <c:min val="0"/>
        </c:scaling>
        <c:delete val="0"/>
        <c:axPos val="r"/>
        <c:numFmt formatCode="&quot;$&quot;#,##0" sourceLinked="0"/>
        <c:majorTickMark val="out"/>
        <c:minorTickMark val="none"/>
        <c:tickLblPos val="nextTo"/>
        <c:crossAx val="108362752"/>
        <c:crosses val="max"/>
        <c:crossBetween val="between"/>
      </c:valAx>
      <c:catAx>
        <c:axId val="108362752"/>
        <c:scaling>
          <c:orientation val="minMax"/>
        </c:scaling>
        <c:delete val="1"/>
        <c:axPos val="b"/>
        <c:majorTickMark val="out"/>
        <c:minorTickMark val="none"/>
        <c:tickLblPos val="none"/>
        <c:crossAx val="108361216"/>
        <c:crosses val="autoZero"/>
        <c:auto val="1"/>
        <c:lblAlgn val="ctr"/>
        <c:lblOffset val="100"/>
        <c:noMultiLvlLbl val="0"/>
      </c:catAx>
    </c:plotArea>
    <c:legend>
      <c:legendPos val="t"/>
      <c:legendEntry>
        <c:idx val="1"/>
        <c:delete val="1"/>
      </c:legendEntry>
      <c:legendEntry>
        <c:idx val="3"/>
        <c:delete val="1"/>
      </c:legendEntry>
      <c:overlay val="0"/>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All Customers Common Measures Over Time</a:t>
            </a:r>
          </a:p>
        </c:rich>
      </c:tx>
      <c:layout>
        <c:manualLayout>
          <c:xMode val="edge"/>
          <c:yMode val="edge"/>
          <c:x val="0.29076177179635782"/>
          <c:y val="0"/>
        </c:manualLayout>
      </c:layout>
      <c:overlay val="0"/>
    </c:title>
    <c:autoTitleDeleted val="0"/>
    <c:plotArea>
      <c:layout/>
      <c:barChart>
        <c:barDir val="col"/>
        <c:grouping val="clustered"/>
        <c:varyColors val="0"/>
        <c:ser>
          <c:idx val="2"/>
          <c:order val="2"/>
          <c:tx>
            <c:strRef>
              <c:f>'Common Measures'!$B$142</c:f>
              <c:strCache>
                <c:ptCount val="1"/>
                <c:pt idx="0">
                  <c:v>Average Earnings</c:v>
                </c:pt>
              </c:strCache>
            </c:strRef>
          </c:tx>
          <c:spPr>
            <a:solidFill>
              <a:srgbClr val="C0504D">
                <a:lumMod val="75000"/>
              </a:srgbClr>
            </a:solidFill>
            <a:ln>
              <a:noFill/>
            </a:ln>
            <a:effectLst/>
            <a:scene3d>
              <a:camera prst="orthographicFront"/>
              <a:lightRig rig="threePt" dir="t"/>
            </a:scene3d>
            <a:sp3d/>
          </c:spPr>
          <c:invertIfNegative val="0"/>
          <c:cat>
            <c:strRef>
              <c:f>'Common Measures'!$C$139:$H$139</c:f>
              <c:strCache>
                <c:ptCount val="6"/>
                <c:pt idx="0">
                  <c:v>PY10 Q1</c:v>
                </c:pt>
                <c:pt idx="1">
                  <c:v>PY10 Q2</c:v>
                </c:pt>
                <c:pt idx="2">
                  <c:v>PY10 Q3</c:v>
                </c:pt>
                <c:pt idx="3">
                  <c:v>PY10 Q4</c:v>
                </c:pt>
                <c:pt idx="4">
                  <c:v>PY11 Q1</c:v>
                </c:pt>
                <c:pt idx="5">
                  <c:v>PY11 Q2</c:v>
                </c:pt>
              </c:strCache>
            </c:strRef>
          </c:cat>
          <c:val>
            <c:numRef>
              <c:f>'Common Measures'!$C$142:$H$142</c:f>
              <c:numCache>
                <c:formatCode>"$"#,##0.00</c:formatCode>
                <c:ptCount val="6"/>
                <c:pt idx="0">
                  <c:v>18245</c:v>
                </c:pt>
                <c:pt idx="1">
                  <c:v>18284</c:v>
                </c:pt>
                <c:pt idx="2">
                  <c:v>18497</c:v>
                </c:pt>
                <c:pt idx="3">
                  <c:v>18478</c:v>
                </c:pt>
                <c:pt idx="4">
                  <c:v>18020</c:v>
                </c:pt>
                <c:pt idx="5">
                  <c:v>18078</c:v>
                </c:pt>
              </c:numCache>
            </c:numRef>
          </c:val>
        </c:ser>
        <c:dLbls>
          <c:showLegendKey val="0"/>
          <c:showVal val="0"/>
          <c:showCatName val="0"/>
          <c:showSerName val="0"/>
          <c:showPercent val="0"/>
          <c:showBubbleSize val="0"/>
        </c:dLbls>
        <c:gapWidth val="150"/>
        <c:axId val="135465600"/>
        <c:axId val="135479680"/>
      </c:barChart>
      <c:lineChart>
        <c:grouping val="standard"/>
        <c:varyColors val="0"/>
        <c:ser>
          <c:idx val="0"/>
          <c:order val="0"/>
          <c:tx>
            <c:strRef>
              <c:f>'Common Measures'!$B$140</c:f>
              <c:strCache>
                <c:ptCount val="1"/>
                <c:pt idx="0">
                  <c:v>Entered Employment</c:v>
                </c:pt>
              </c:strCache>
            </c:strRef>
          </c:tx>
          <c:spPr>
            <a:ln w="57150"/>
          </c:spPr>
          <c:marker>
            <c:symbol val="none"/>
          </c:marker>
          <c:cat>
            <c:strRef>
              <c:f>'Common Measures'!$C$139:$H$139</c:f>
              <c:strCache>
                <c:ptCount val="6"/>
                <c:pt idx="0">
                  <c:v>PY10 Q1</c:v>
                </c:pt>
                <c:pt idx="1">
                  <c:v>PY10 Q2</c:v>
                </c:pt>
                <c:pt idx="2">
                  <c:v>PY10 Q3</c:v>
                </c:pt>
                <c:pt idx="3">
                  <c:v>PY10 Q4</c:v>
                </c:pt>
                <c:pt idx="4">
                  <c:v>PY11 Q1</c:v>
                </c:pt>
                <c:pt idx="5">
                  <c:v>PY11 Q2</c:v>
                </c:pt>
              </c:strCache>
            </c:strRef>
          </c:cat>
          <c:val>
            <c:numRef>
              <c:f>'Common Measures'!$C$140:$H$140</c:f>
              <c:numCache>
                <c:formatCode>0%</c:formatCode>
                <c:ptCount val="6"/>
                <c:pt idx="0">
                  <c:v>0.41</c:v>
                </c:pt>
                <c:pt idx="1">
                  <c:v>0.42</c:v>
                </c:pt>
                <c:pt idx="2">
                  <c:v>0.43</c:v>
                </c:pt>
                <c:pt idx="3">
                  <c:v>0.44</c:v>
                </c:pt>
                <c:pt idx="4">
                  <c:v>0.47</c:v>
                </c:pt>
                <c:pt idx="5">
                  <c:v>0.48</c:v>
                </c:pt>
              </c:numCache>
            </c:numRef>
          </c:val>
          <c:smooth val="0"/>
        </c:ser>
        <c:ser>
          <c:idx val="1"/>
          <c:order val="1"/>
          <c:tx>
            <c:strRef>
              <c:f>'Common Measures'!$B$141</c:f>
              <c:strCache>
                <c:ptCount val="1"/>
                <c:pt idx="0">
                  <c:v>Retention Rate</c:v>
                </c:pt>
              </c:strCache>
            </c:strRef>
          </c:tx>
          <c:spPr>
            <a:ln w="57150">
              <a:solidFill>
                <a:srgbClr val="9BBB59">
                  <a:lumMod val="75000"/>
                </a:srgbClr>
              </a:solidFill>
            </a:ln>
          </c:spPr>
          <c:marker>
            <c:symbol val="none"/>
          </c:marker>
          <c:cat>
            <c:strRef>
              <c:f>'Common Measures'!$C$139:$H$139</c:f>
              <c:strCache>
                <c:ptCount val="6"/>
                <c:pt idx="0">
                  <c:v>PY10 Q1</c:v>
                </c:pt>
                <c:pt idx="1">
                  <c:v>PY10 Q2</c:v>
                </c:pt>
                <c:pt idx="2">
                  <c:v>PY10 Q3</c:v>
                </c:pt>
                <c:pt idx="3">
                  <c:v>PY10 Q4</c:v>
                </c:pt>
                <c:pt idx="4">
                  <c:v>PY11 Q1</c:v>
                </c:pt>
                <c:pt idx="5">
                  <c:v>PY11 Q2</c:v>
                </c:pt>
              </c:strCache>
            </c:strRef>
          </c:cat>
          <c:val>
            <c:numRef>
              <c:f>'Common Measures'!$C$141:$H$141</c:f>
              <c:numCache>
                <c:formatCode>0%</c:formatCode>
                <c:ptCount val="6"/>
                <c:pt idx="0">
                  <c:v>0.76</c:v>
                </c:pt>
                <c:pt idx="1">
                  <c:v>0.77</c:v>
                </c:pt>
                <c:pt idx="2">
                  <c:v>0.78</c:v>
                </c:pt>
                <c:pt idx="3">
                  <c:v>0.79</c:v>
                </c:pt>
                <c:pt idx="4">
                  <c:v>0.79</c:v>
                </c:pt>
                <c:pt idx="5">
                  <c:v>0.8</c:v>
                </c:pt>
              </c:numCache>
            </c:numRef>
          </c:val>
          <c:smooth val="0"/>
        </c:ser>
        <c:dLbls>
          <c:showLegendKey val="0"/>
          <c:showVal val="0"/>
          <c:showCatName val="0"/>
          <c:showSerName val="0"/>
          <c:showPercent val="0"/>
          <c:showBubbleSize val="0"/>
        </c:dLbls>
        <c:marker val="1"/>
        <c:smooth val="0"/>
        <c:axId val="135482752"/>
        <c:axId val="135481216"/>
      </c:lineChart>
      <c:catAx>
        <c:axId val="135465600"/>
        <c:scaling>
          <c:orientation val="minMax"/>
        </c:scaling>
        <c:delete val="0"/>
        <c:axPos val="b"/>
        <c:majorTickMark val="out"/>
        <c:minorTickMark val="none"/>
        <c:tickLblPos val="nextTo"/>
        <c:txPr>
          <a:bodyPr/>
          <a:lstStyle/>
          <a:p>
            <a:pPr>
              <a:defRPr sz="1400"/>
            </a:pPr>
            <a:endParaRPr lang="en-US"/>
          </a:p>
        </c:txPr>
        <c:crossAx val="135479680"/>
        <c:crosses val="autoZero"/>
        <c:auto val="1"/>
        <c:lblAlgn val="ctr"/>
        <c:lblOffset val="100"/>
        <c:noMultiLvlLbl val="0"/>
      </c:catAx>
      <c:valAx>
        <c:axId val="135479680"/>
        <c:scaling>
          <c:orientation val="minMax"/>
          <c:max val="1"/>
        </c:scaling>
        <c:delete val="0"/>
        <c:axPos val="l"/>
        <c:majorGridlines/>
        <c:numFmt formatCode="&quot;$&quot;#,##0.00" sourceLinked="1"/>
        <c:majorTickMark val="out"/>
        <c:minorTickMark val="none"/>
        <c:tickLblPos val="nextTo"/>
        <c:crossAx val="135465600"/>
        <c:crosses val="autoZero"/>
        <c:crossBetween val="between"/>
        <c:majorUnit val="0.25"/>
      </c:valAx>
      <c:valAx>
        <c:axId val="135481216"/>
        <c:scaling>
          <c:orientation val="minMax"/>
        </c:scaling>
        <c:delete val="0"/>
        <c:axPos val="r"/>
        <c:numFmt formatCode="0%" sourceLinked="1"/>
        <c:majorTickMark val="out"/>
        <c:minorTickMark val="none"/>
        <c:tickLblPos val="nextTo"/>
        <c:crossAx val="135482752"/>
        <c:crosses val="max"/>
        <c:crossBetween val="between"/>
      </c:valAx>
      <c:catAx>
        <c:axId val="135482752"/>
        <c:scaling>
          <c:orientation val="minMax"/>
        </c:scaling>
        <c:delete val="1"/>
        <c:axPos val="b"/>
        <c:majorTickMark val="out"/>
        <c:minorTickMark val="none"/>
        <c:tickLblPos val="none"/>
        <c:crossAx val="135481216"/>
        <c:crosses val="autoZero"/>
        <c:auto val="1"/>
        <c:lblAlgn val="ctr"/>
        <c:lblOffset val="100"/>
        <c:noMultiLvlLbl val="0"/>
      </c:catAx>
    </c:plotArea>
    <c:legend>
      <c:legendPos val="b"/>
      <c:layout>
        <c:manualLayout>
          <c:xMode val="edge"/>
          <c:yMode val="edge"/>
          <c:x val="1.388062540303369E-2"/>
          <c:y val="0.79483805706994404"/>
          <c:w val="0.97707448294165833"/>
          <c:h val="0.18070779670067996"/>
        </c:manualLayout>
      </c:layout>
      <c:overlay val="0"/>
      <c:txPr>
        <a:bodyPr/>
        <a:lstStyle/>
        <a:p>
          <a:pPr>
            <a:defRPr sz="1400"/>
          </a:pPr>
          <a:endParaRPr lang="en-US"/>
        </a:p>
      </c:txPr>
    </c:legend>
    <c:plotVisOnly val="1"/>
    <c:dispBlanksAs val="gap"/>
    <c:showDLblsOverMax val="0"/>
  </c:chart>
  <c:spPr>
    <a:noFill/>
    <a:ln>
      <a:solidFill>
        <a:sysClr val="windowText" lastClr="000000"/>
      </a:solidFill>
    </a:ln>
  </c:spPr>
  <c:printSettings>
    <c:headerFooter/>
    <c:pageMargins b="0.75000000000001077" l="0.70000000000000062" r="0.70000000000000062" t="0.75000000000001077" header="0.30000000000000032" footer="0.30000000000000032"/>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
          <c:order val="2"/>
          <c:tx>
            <c:strRef>
              <c:f>'Common Measures'!$B$142</c:f>
              <c:strCache>
                <c:ptCount val="1"/>
                <c:pt idx="0">
                  <c:v>Average Earnings</c:v>
                </c:pt>
              </c:strCache>
            </c:strRef>
          </c:tx>
          <c:invertIfNegative val="0"/>
          <c:cat>
            <c:strRef>
              <c:f>'Common Measures'!$C$139:$H$139</c:f>
              <c:strCache>
                <c:ptCount val="6"/>
                <c:pt idx="0">
                  <c:v>PY10 Q1</c:v>
                </c:pt>
                <c:pt idx="1">
                  <c:v>PY10 Q2</c:v>
                </c:pt>
                <c:pt idx="2">
                  <c:v>PY10 Q3</c:v>
                </c:pt>
                <c:pt idx="3">
                  <c:v>PY10 Q4</c:v>
                </c:pt>
                <c:pt idx="4">
                  <c:v>PY11 Q1</c:v>
                </c:pt>
                <c:pt idx="5">
                  <c:v>PY11 Q2</c:v>
                </c:pt>
              </c:strCache>
            </c:strRef>
          </c:cat>
          <c:val>
            <c:numRef>
              <c:f>'Common Measures'!$C$142:$H$142</c:f>
              <c:numCache>
                <c:formatCode>"$"#,##0.00</c:formatCode>
                <c:ptCount val="6"/>
                <c:pt idx="0">
                  <c:v>18245</c:v>
                </c:pt>
                <c:pt idx="1">
                  <c:v>18284</c:v>
                </c:pt>
                <c:pt idx="2">
                  <c:v>18497</c:v>
                </c:pt>
                <c:pt idx="3">
                  <c:v>18478</c:v>
                </c:pt>
                <c:pt idx="4">
                  <c:v>18020</c:v>
                </c:pt>
                <c:pt idx="5">
                  <c:v>18078</c:v>
                </c:pt>
              </c:numCache>
            </c:numRef>
          </c:val>
        </c:ser>
        <c:dLbls>
          <c:showLegendKey val="0"/>
          <c:showVal val="0"/>
          <c:showCatName val="0"/>
          <c:showSerName val="0"/>
          <c:showPercent val="0"/>
          <c:showBubbleSize val="0"/>
        </c:dLbls>
        <c:gapWidth val="150"/>
        <c:axId val="135535616"/>
        <c:axId val="135534080"/>
      </c:barChart>
      <c:lineChart>
        <c:grouping val="standard"/>
        <c:varyColors val="0"/>
        <c:ser>
          <c:idx val="0"/>
          <c:order val="0"/>
          <c:tx>
            <c:strRef>
              <c:f>'Common Measures'!$B$140</c:f>
              <c:strCache>
                <c:ptCount val="1"/>
                <c:pt idx="0">
                  <c:v>Entered Employment</c:v>
                </c:pt>
              </c:strCache>
            </c:strRef>
          </c:tx>
          <c:marker>
            <c:symbol val="none"/>
          </c:marker>
          <c:cat>
            <c:strRef>
              <c:f>'Common Measures'!$C$139:$H$139</c:f>
              <c:strCache>
                <c:ptCount val="6"/>
                <c:pt idx="0">
                  <c:v>PY10 Q1</c:v>
                </c:pt>
                <c:pt idx="1">
                  <c:v>PY10 Q2</c:v>
                </c:pt>
                <c:pt idx="2">
                  <c:v>PY10 Q3</c:v>
                </c:pt>
                <c:pt idx="3">
                  <c:v>PY10 Q4</c:v>
                </c:pt>
                <c:pt idx="4">
                  <c:v>PY11 Q1</c:v>
                </c:pt>
                <c:pt idx="5">
                  <c:v>PY11 Q2</c:v>
                </c:pt>
              </c:strCache>
            </c:strRef>
          </c:cat>
          <c:val>
            <c:numRef>
              <c:f>'Common Measures'!$C$140:$H$140</c:f>
              <c:numCache>
                <c:formatCode>0%</c:formatCode>
                <c:ptCount val="6"/>
                <c:pt idx="0">
                  <c:v>0.41</c:v>
                </c:pt>
                <c:pt idx="1">
                  <c:v>0.42</c:v>
                </c:pt>
                <c:pt idx="2">
                  <c:v>0.43</c:v>
                </c:pt>
                <c:pt idx="3">
                  <c:v>0.44</c:v>
                </c:pt>
                <c:pt idx="4">
                  <c:v>0.47</c:v>
                </c:pt>
                <c:pt idx="5">
                  <c:v>0.48</c:v>
                </c:pt>
              </c:numCache>
            </c:numRef>
          </c:val>
          <c:smooth val="0"/>
        </c:ser>
        <c:ser>
          <c:idx val="1"/>
          <c:order val="1"/>
          <c:tx>
            <c:strRef>
              <c:f>'Common Measures'!$B$141</c:f>
              <c:strCache>
                <c:ptCount val="1"/>
                <c:pt idx="0">
                  <c:v>Retention Rate</c:v>
                </c:pt>
              </c:strCache>
            </c:strRef>
          </c:tx>
          <c:marker>
            <c:symbol val="none"/>
          </c:marker>
          <c:cat>
            <c:strRef>
              <c:f>'Common Measures'!$C$139:$H$139</c:f>
              <c:strCache>
                <c:ptCount val="6"/>
                <c:pt idx="0">
                  <c:v>PY10 Q1</c:v>
                </c:pt>
                <c:pt idx="1">
                  <c:v>PY10 Q2</c:v>
                </c:pt>
                <c:pt idx="2">
                  <c:v>PY10 Q3</c:v>
                </c:pt>
                <c:pt idx="3">
                  <c:v>PY10 Q4</c:v>
                </c:pt>
                <c:pt idx="4">
                  <c:v>PY11 Q1</c:v>
                </c:pt>
                <c:pt idx="5">
                  <c:v>PY11 Q2</c:v>
                </c:pt>
              </c:strCache>
            </c:strRef>
          </c:cat>
          <c:val>
            <c:numRef>
              <c:f>'Common Measures'!$C$141:$H$141</c:f>
              <c:numCache>
                <c:formatCode>0%</c:formatCode>
                <c:ptCount val="6"/>
                <c:pt idx="0">
                  <c:v>0.76</c:v>
                </c:pt>
                <c:pt idx="1">
                  <c:v>0.77</c:v>
                </c:pt>
                <c:pt idx="2">
                  <c:v>0.78</c:v>
                </c:pt>
                <c:pt idx="3">
                  <c:v>0.79</c:v>
                </c:pt>
                <c:pt idx="4">
                  <c:v>0.79</c:v>
                </c:pt>
                <c:pt idx="5">
                  <c:v>0.8</c:v>
                </c:pt>
              </c:numCache>
            </c:numRef>
          </c:val>
          <c:smooth val="0"/>
        </c:ser>
        <c:dLbls>
          <c:showLegendKey val="0"/>
          <c:showVal val="0"/>
          <c:showCatName val="0"/>
          <c:showSerName val="0"/>
          <c:showPercent val="0"/>
          <c:showBubbleSize val="0"/>
        </c:dLbls>
        <c:marker val="1"/>
        <c:smooth val="0"/>
        <c:axId val="135530752"/>
        <c:axId val="135532544"/>
      </c:lineChart>
      <c:catAx>
        <c:axId val="135530752"/>
        <c:scaling>
          <c:orientation val="minMax"/>
        </c:scaling>
        <c:delete val="0"/>
        <c:axPos val="b"/>
        <c:majorTickMark val="out"/>
        <c:minorTickMark val="none"/>
        <c:tickLblPos val="nextTo"/>
        <c:crossAx val="135532544"/>
        <c:crosses val="autoZero"/>
        <c:auto val="1"/>
        <c:lblAlgn val="ctr"/>
        <c:lblOffset val="100"/>
        <c:noMultiLvlLbl val="0"/>
      </c:catAx>
      <c:valAx>
        <c:axId val="135532544"/>
        <c:scaling>
          <c:orientation val="minMax"/>
        </c:scaling>
        <c:delete val="0"/>
        <c:axPos val="l"/>
        <c:majorGridlines/>
        <c:numFmt formatCode="0%" sourceLinked="1"/>
        <c:majorTickMark val="out"/>
        <c:minorTickMark val="none"/>
        <c:tickLblPos val="nextTo"/>
        <c:crossAx val="135530752"/>
        <c:crosses val="autoZero"/>
        <c:crossBetween val="between"/>
      </c:valAx>
      <c:valAx>
        <c:axId val="135534080"/>
        <c:scaling>
          <c:orientation val="minMax"/>
        </c:scaling>
        <c:delete val="0"/>
        <c:axPos val="r"/>
        <c:numFmt formatCode="&quot;$&quot;#,##0.00" sourceLinked="1"/>
        <c:majorTickMark val="out"/>
        <c:minorTickMark val="none"/>
        <c:tickLblPos val="nextTo"/>
        <c:crossAx val="135535616"/>
        <c:crosses val="max"/>
        <c:crossBetween val="between"/>
      </c:valAx>
      <c:catAx>
        <c:axId val="135535616"/>
        <c:scaling>
          <c:orientation val="minMax"/>
        </c:scaling>
        <c:delete val="1"/>
        <c:axPos val="b"/>
        <c:majorTickMark val="out"/>
        <c:minorTickMark val="none"/>
        <c:tickLblPos val="none"/>
        <c:crossAx val="135534080"/>
        <c:crosses val="autoZero"/>
        <c:auto val="1"/>
        <c:lblAlgn val="ctr"/>
        <c:lblOffset val="100"/>
        <c:noMultiLvlLbl val="0"/>
      </c:catAx>
    </c:plotArea>
    <c:legend>
      <c:legendPos val="b"/>
      <c:overlay val="0"/>
    </c:legend>
    <c:plotVisOnly val="1"/>
    <c:dispBlanksAs val="gap"/>
    <c:showDLblsOverMax val="0"/>
  </c:chart>
  <c:printSettings>
    <c:headerFooter/>
    <c:pageMargins b="0.75000000000000999" l="0.70000000000000062" r="0.70000000000000062" t="0.75000000000000999"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WIA Adult</a:t>
            </a:r>
          </a:p>
        </c:rich>
      </c:tx>
      <c:overlay val="0"/>
    </c:title>
    <c:autoTitleDeleted val="0"/>
    <c:plotArea>
      <c:layout/>
      <c:barChart>
        <c:barDir val="col"/>
        <c:grouping val="clustered"/>
        <c:varyColors val="0"/>
        <c:ser>
          <c:idx val="0"/>
          <c:order val="0"/>
          <c:tx>
            <c:strRef>
              <c:f>'Common Measures'!$C$33</c:f>
              <c:strCache>
                <c:ptCount val="1"/>
                <c:pt idx="0">
                  <c:v>Actual</c:v>
                </c:pt>
              </c:strCache>
            </c:strRef>
          </c:tx>
          <c:invertIfNegative val="0"/>
          <c:dLbls>
            <c:txPr>
              <a:bodyPr/>
              <a:lstStyle/>
              <a:p>
                <a:pPr>
                  <a:defRPr sz="1800"/>
                </a:pPr>
                <a:endParaRPr lang="en-US"/>
              </a:p>
            </c:txPr>
            <c:dLblPos val="outEnd"/>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Measures'!$C$39:$C$41</c:f>
              <c:numCache>
                <c:formatCode>0.0%</c:formatCode>
                <c:ptCount val="3"/>
                <c:pt idx="0">
                  <c:v>0.71306818181818177</c:v>
                </c:pt>
                <c:pt idx="1">
                  <c:v>0.91414141414141414</c:v>
                </c:pt>
              </c:numCache>
            </c:numRef>
          </c:val>
        </c:ser>
        <c:dLbls>
          <c:showLegendKey val="0"/>
          <c:showVal val="0"/>
          <c:showCatName val="0"/>
          <c:showSerName val="0"/>
          <c:showPercent val="0"/>
          <c:showBubbleSize val="0"/>
        </c:dLbls>
        <c:gapWidth val="150"/>
        <c:axId val="135636096"/>
        <c:axId val="135637632"/>
      </c:barChart>
      <c:barChart>
        <c:barDir val="col"/>
        <c:grouping val="clustered"/>
        <c:varyColors val="0"/>
        <c:ser>
          <c:idx val="1"/>
          <c:order val="1"/>
          <c:tx>
            <c:strRef>
              <c:f>'Common Measures'!$D$33</c:f>
              <c:strCache>
                <c:ptCount val="1"/>
                <c:pt idx="0">
                  <c:v>Actual $</c:v>
                </c:pt>
              </c:strCache>
            </c:strRef>
          </c:tx>
          <c:invertIfNegative val="0"/>
          <c:dLbls>
            <c:txPr>
              <a:bodyPr/>
              <a:lstStyle/>
              <a:p>
                <a:pPr>
                  <a:defRPr sz="1800"/>
                </a:pPr>
                <a:endParaRPr lang="en-US"/>
              </a:p>
            </c:txPr>
            <c:dLblPos val="outEnd"/>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Measures'!$D$39:$D$41</c:f>
              <c:numCache>
                <c:formatCode>General</c:formatCode>
                <c:ptCount val="3"/>
                <c:pt idx="2" formatCode="&quot;$&quot;#,##0">
                  <c:v>16111.309392265193</c:v>
                </c:pt>
              </c:numCache>
            </c:numRef>
          </c:val>
        </c:ser>
        <c:dLbls>
          <c:showLegendKey val="0"/>
          <c:showVal val="0"/>
          <c:showCatName val="0"/>
          <c:showSerName val="0"/>
          <c:showPercent val="0"/>
          <c:showBubbleSize val="0"/>
        </c:dLbls>
        <c:gapWidth val="150"/>
        <c:axId val="135649152"/>
        <c:axId val="135647616"/>
      </c:barChart>
      <c:scatterChart>
        <c:scatterStyle val="lineMarker"/>
        <c:varyColors val="0"/>
        <c:ser>
          <c:idx val="2"/>
          <c:order val="2"/>
          <c:tx>
            <c:strRef>
              <c:f>'Common Measures'!$E$33</c:f>
              <c:strCache>
                <c:ptCount val="1"/>
                <c:pt idx="0">
                  <c:v>Target</c:v>
                </c:pt>
              </c:strCache>
            </c:strRef>
          </c:tx>
          <c:spPr>
            <a:ln w="25400">
              <a:noFill/>
            </a:ln>
          </c:spPr>
          <c:dLbls>
            <c:dLbl>
              <c:idx val="0"/>
              <c:dLblPos val="l"/>
              <c:showLegendKey val="0"/>
              <c:showVal val="1"/>
              <c:showCatName val="0"/>
              <c:showSerName val="0"/>
              <c:showPercent val="0"/>
              <c:showBubbleSize val="0"/>
            </c:dLbl>
            <c:dLbl>
              <c:idx val="1"/>
              <c:dLblPos val="l"/>
              <c:showLegendKey val="0"/>
              <c:showVal val="1"/>
              <c:showCatName val="0"/>
              <c:showSerName val="0"/>
              <c:showPercent val="0"/>
              <c:showBubbleSize val="0"/>
            </c:dLbl>
            <c:spPr>
              <a:solidFill>
                <a:schemeClr val="lt1"/>
              </a:solidFill>
              <a:ln w="25400" cap="flat" cmpd="sng" algn="ctr">
                <a:solidFill>
                  <a:schemeClr val="accent3"/>
                </a:solidFill>
                <a:prstDash val="solid"/>
              </a:ln>
              <a:effectLst/>
            </c:spPr>
            <c:txPr>
              <a:bodyPr/>
              <a:lstStyle/>
              <a:p>
                <a:pPr>
                  <a:defRPr>
                    <a:solidFill>
                      <a:schemeClr val="dk1"/>
                    </a:solidFill>
                    <a:latin typeface="+mn-lt"/>
                    <a:ea typeface="+mn-ea"/>
                    <a:cs typeface="+mn-cs"/>
                  </a:defRPr>
                </a:pPr>
                <a:endParaRPr lang="en-US"/>
              </a:p>
            </c:txPr>
            <c:dLblPos val="r"/>
            <c:showLegendKey val="0"/>
            <c:showVal val="1"/>
            <c:showCatName val="0"/>
            <c:showSerName val="0"/>
            <c:showPercent val="0"/>
            <c:showBubbleSize val="0"/>
            <c:showLeaderLines val="0"/>
          </c:dLbls>
          <c:xVal>
            <c:strRef>
              <c:f>'Common Measures'!$B$39:$B$41</c:f>
              <c:strCache>
                <c:ptCount val="3"/>
                <c:pt idx="0">
                  <c:v>Entered Employment</c:v>
                </c:pt>
                <c:pt idx="1">
                  <c:v>Retention Rate</c:v>
                </c:pt>
                <c:pt idx="2">
                  <c:v>Average Earnings</c:v>
                </c:pt>
              </c:strCache>
            </c:strRef>
          </c:xVal>
          <c:yVal>
            <c:numRef>
              <c:f>'Common Measures'!$E$39:$E$41</c:f>
              <c:numCache>
                <c:formatCode>0.0%</c:formatCode>
                <c:ptCount val="3"/>
                <c:pt idx="0">
                  <c:v>0.71399999999999997</c:v>
                </c:pt>
                <c:pt idx="1">
                  <c:v>0.81899999999999995</c:v>
                </c:pt>
              </c:numCache>
            </c:numRef>
          </c:yVal>
          <c:smooth val="0"/>
        </c:ser>
        <c:dLbls>
          <c:showLegendKey val="0"/>
          <c:showVal val="0"/>
          <c:showCatName val="0"/>
          <c:showSerName val="0"/>
          <c:showPercent val="0"/>
          <c:showBubbleSize val="0"/>
        </c:dLbls>
        <c:axId val="135636096"/>
        <c:axId val="135637632"/>
      </c:scatterChart>
      <c:scatterChart>
        <c:scatterStyle val="lineMarker"/>
        <c:varyColors val="0"/>
        <c:ser>
          <c:idx val="3"/>
          <c:order val="3"/>
          <c:tx>
            <c:strRef>
              <c:f>'Common Measures'!$F$33</c:f>
              <c:strCache>
                <c:ptCount val="1"/>
                <c:pt idx="0">
                  <c:v>Target $</c:v>
                </c:pt>
              </c:strCache>
            </c:strRef>
          </c:tx>
          <c:spPr>
            <a:ln w="25400">
              <a:noFill/>
            </a:ln>
          </c:spPr>
          <c:dLbls>
            <c:spPr>
              <a:solidFill>
                <a:schemeClr val="lt1"/>
              </a:solidFill>
              <a:ln w="25400" cap="flat" cmpd="sng" algn="ctr">
                <a:solidFill>
                  <a:schemeClr val="accent4"/>
                </a:solidFill>
                <a:prstDash val="solid"/>
              </a:ln>
              <a:effectLst/>
            </c:spPr>
            <c:txPr>
              <a:bodyPr/>
              <a:lstStyle/>
              <a:p>
                <a:pPr>
                  <a:defRPr>
                    <a:solidFill>
                      <a:schemeClr val="dk1"/>
                    </a:solidFill>
                    <a:latin typeface="+mn-lt"/>
                    <a:ea typeface="+mn-ea"/>
                    <a:cs typeface="+mn-cs"/>
                  </a:defRPr>
                </a:pPr>
                <a:endParaRPr lang="en-US"/>
              </a:p>
            </c:txPr>
            <c:dLblPos val="l"/>
            <c:showLegendKey val="0"/>
            <c:showVal val="1"/>
            <c:showCatName val="0"/>
            <c:showSerName val="0"/>
            <c:showPercent val="0"/>
            <c:showBubbleSize val="0"/>
            <c:showLeaderLines val="0"/>
          </c:dLbls>
          <c:xVal>
            <c:strRef>
              <c:f>'Common Measures'!$B$39:$B$41</c:f>
              <c:strCache>
                <c:ptCount val="3"/>
                <c:pt idx="0">
                  <c:v>Entered Employment</c:v>
                </c:pt>
                <c:pt idx="1">
                  <c:v>Retention Rate</c:v>
                </c:pt>
                <c:pt idx="2">
                  <c:v>Average Earnings</c:v>
                </c:pt>
              </c:strCache>
            </c:strRef>
          </c:xVal>
          <c:yVal>
            <c:numRef>
              <c:f>'Common Measures'!$F$39:$F$41</c:f>
              <c:numCache>
                <c:formatCode>General</c:formatCode>
                <c:ptCount val="3"/>
                <c:pt idx="2" formatCode="&quot;$&quot;#,##0">
                  <c:v>10744</c:v>
                </c:pt>
              </c:numCache>
            </c:numRef>
          </c:yVal>
          <c:smooth val="0"/>
        </c:ser>
        <c:dLbls>
          <c:showLegendKey val="0"/>
          <c:showVal val="0"/>
          <c:showCatName val="0"/>
          <c:showSerName val="0"/>
          <c:showPercent val="0"/>
          <c:showBubbleSize val="0"/>
        </c:dLbls>
        <c:axId val="135649152"/>
        <c:axId val="135647616"/>
      </c:scatterChart>
      <c:catAx>
        <c:axId val="135636096"/>
        <c:scaling>
          <c:orientation val="minMax"/>
        </c:scaling>
        <c:delete val="0"/>
        <c:axPos val="b"/>
        <c:numFmt formatCode="@" sourceLinked="0"/>
        <c:majorTickMark val="none"/>
        <c:minorTickMark val="none"/>
        <c:tickLblPos val="nextTo"/>
        <c:txPr>
          <a:bodyPr/>
          <a:lstStyle/>
          <a:p>
            <a:pPr>
              <a:defRPr sz="1600"/>
            </a:pPr>
            <a:endParaRPr lang="en-US"/>
          </a:p>
        </c:txPr>
        <c:crossAx val="135637632"/>
        <c:crosses val="autoZero"/>
        <c:auto val="1"/>
        <c:lblAlgn val="ctr"/>
        <c:lblOffset val="100"/>
        <c:noMultiLvlLbl val="0"/>
      </c:catAx>
      <c:valAx>
        <c:axId val="135637632"/>
        <c:scaling>
          <c:orientation val="minMax"/>
          <c:max val="1"/>
        </c:scaling>
        <c:delete val="0"/>
        <c:axPos val="l"/>
        <c:majorGridlines/>
        <c:numFmt formatCode="0%" sourceLinked="0"/>
        <c:majorTickMark val="none"/>
        <c:minorTickMark val="none"/>
        <c:tickLblPos val="nextTo"/>
        <c:crossAx val="135636096"/>
        <c:crosses val="autoZero"/>
        <c:crossBetween val="between"/>
        <c:majorUnit val="0.25"/>
      </c:valAx>
      <c:valAx>
        <c:axId val="135647616"/>
        <c:scaling>
          <c:orientation val="minMax"/>
          <c:min val="0"/>
        </c:scaling>
        <c:delete val="0"/>
        <c:axPos val="r"/>
        <c:numFmt formatCode="&quot;$&quot;#,##0" sourceLinked="0"/>
        <c:majorTickMark val="out"/>
        <c:minorTickMark val="none"/>
        <c:tickLblPos val="nextTo"/>
        <c:crossAx val="135649152"/>
        <c:crosses val="max"/>
        <c:crossBetween val="between"/>
        <c:majorUnit val="5000"/>
      </c:valAx>
      <c:catAx>
        <c:axId val="135649152"/>
        <c:scaling>
          <c:orientation val="minMax"/>
        </c:scaling>
        <c:delete val="1"/>
        <c:axPos val="b"/>
        <c:majorTickMark val="out"/>
        <c:minorTickMark val="none"/>
        <c:tickLblPos val="none"/>
        <c:crossAx val="135647616"/>
        <c:crosses val="autoZero"/>
        <c:auto val="1"/>
        <c:lblAlgn val="ctr"/>
        <c:lblOffset val="100"/>
        <c:noMultiLvlLbl val="0"/>
      </c:catAx>
      <c:dTable>
        <c:showHorzBorder val="1"/>
        <c:showVertBorder val="1"/>
        <c:showOutline val="1"/>
        <c:showKeys val="1"/>
      </c:dTable>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Youth Common Measures</a:t>
            </a:r>
          </a:p>
        </c:rich>
      </c:tx>
      <c:overlay val="0"/>
    </c:title>
    <c:autoTitleDeleted val="0"/>
    <c:plotArea>
      <c:layout/>
      <c:barChart>
        <c:barDir val="col"/>
        <c:grouping val="clustered"/>
        <c:varyColors val="0"/>
        <c:ser>
          <c:idx val="0"/>
          <c:order val="0"/>
          <c:tx>
            <c:v>Actual Rates</c:v>
          </c:tx>
          <c:invertIfNegative val="0"/>
          <c:dLbls>
            <c:txPr>
              <a:bodyPr/>
              <a:lstStyle/>
              <a:p>
                <a:pPr>
                  <a:defRPr sz="1800"/>
                </a:pPr>
                <a:endParaRPr lang="en-US"/>
              </a:p>
            </c:txPr>
            <c:dLblPos val="outEnd"/>
            <c:showLegendKey val="0"/>
            <c:showVal val="1"/>
            <c:showCatName val="0"/>
            <c:showSerName val="0"/>
            <c:showPercent val="0"/>
            <c:showBubbleSize val="0"/>
            <c:showLeaderLines val="0"/>
          </c:dLbls>
          <c:cat>
            <c:strRef>
              <c:f>'Area Data'!$F$22:$F$26</c:f>
              <c:strCache>
                <c:ptCount val="5"/>
                <c:pt idx="0">
                  <c:v>Certificate Rate</c:v>
                </c:pt>
                <c:pt idx="2">
                  <c:v>Literacy/Numeracy Rate</c:v>
                </c:pt>
                <c:pt idx="4">
                  <c:v>Placement Rate</c:v>
                </c:pt>
              </c:strCache>
            </c:strRef>
          </c:cat>
          <c:val>
            <c:numRef>
              <c:f>'Area Data'!$I$22:$I$26</c:f>
              <c:numCache>
                <c:formatCode>0.0%</c:formatCode>
                <c:ptCount val="5"/>
                <c:pt idx="0">
                  <c:v>0.81707317073170727</c:v>
                </c:pt>
                <c:pt idx="2">
                  <c:v>0.38738738738738737</c:v>
                </c:pt>
                <c:pt idx="4">
                  <c:v>0.73412698412698407</c:v>
                </c:pt>
              </c:numCache>
            </c:numRef>
          </c:val>
        </c:ser>
        <c:dLbls>
          <c:showLegendKey val="0"/>
          <c:showVal val="0"/>
          <c:showCatName val="0"/>
          <c:showSerName val="0"/>
          <c:showPercent val="0"/>
          <c:showBubbleSize val="0"/>
        </c:dLbls>
        <c:gapWidth val="150"/>
        <c:axId val="136013312"/>
        <c:axId val="136014848"/>
      </c:barChart>
      <c:lineChart>
        <c:grouping val="standard"/>
        <c:varyColors val="0"/>
        <c:ser>
          <c:idx val="1"/>
          <c:order val="1"/>
          <c:tx>
            <c:v>Measure Target</c:v>
          </c:tx>
          <c:spPr>
            <a:ln w="66675">
              <a:noFill/>
            </a:ln>
          </c:spPr>
          <c:dLbls>
            <c:spPr>
              <a:solidFill>
                <a:schemeClr val="lt1"/>
              </a:solidFill>
              <a:ln w="25400" cap="flat" cmpd="sng" algn="ctr">
                <a:solidFill>
                  <a:schemeClr val="accent2"/>
                </a:solidFill>
                <a:prstDash val="solid"/>
              </a:ln>
              <a:effectLst/>
            </c:spPr>
            <c:txPr>
              <a:bodyPr/>
              <a:lstStyle/>
              <a:p>
                <a:pPr>
                  <a:defRPr>
                    <a:solidFill>
                      <a:schemeClr val="dk1"/>
                    </a:solidFill>
                    <a:latin typeface="+mn-lt"/>
                    <a:ea typeface="+mn-ea"/>
                    <a:cs typeface="+mn-cs"/>
                  </a:defRPr>
                </a:pPr>
                <a:endParaRPr lang="en-US"/>
              </a:p>
            </c:txPr>
            <c:dLblPos val="l"/>
            <c:showLegendKey val="0"/>
            <c:showVal val="1"/>
            <c:showCatName val="0"/>
            <c:showSerName val="0"/>
            <c:showPercent val="0"/>
            <c:showBubbleSize val="0"/>
            <c:showLeaderLines val="0"/>
          </c:dLbls>
          <c:cat>
            <c:strRef>
              <c:f>'Area Data'!$F$22:$F$26</c:f>
              <c:strCache>
                <c:ptCount val="5"/>
                <c:pt idx="0">
                  <c:v>Certificate Rate</c:v>
                </c:pt>
                <c:pt idx="2">
                  <c:v>Literacy/Numeracy Rate</c:v>
                </c:pt>
                <c:pt idx="4">
                  <c:v>Placement Rate</c:v>
                </c:pt>
              </c:strCache>
            </c:strRef>
          </c:cat>
          <c:val>
            <c:numRef>
              <c:f>'Area Data'!$J$22:$J$26</c:f>
              <c:numCache>
                <c:formatCode>0.0%</c:formatCode>
                <c:ptCount val="5"/>
                <c:pt idx="0">
                  <c:v>0.75800000000000001</c:v>
                </c:pt>
                <c:pt idx="2">
                  <c:v>0.40200000000000002</c:v>
                </c:pt>
                <c:pt idx="4">
                  <c:v>0.55000000000000004</c:v>
                </c:pt>
              </c:numCache>
            </c:numRef>
          </c:val>
          <c:smooth val="0"/>
        </c:ser>
        <c:dLbls>
          <c:showLegendKey val="0"/>
          <c:showVal val="0"/>
          <c:showCatName val="0"/>
          <c:showSerName val="0"/>
          <c:showPercent val="0"/>
          <c:showBubbleSize val="0"/>
        </c:dLbls>
        <c:marker val="1"/>
        <c:smooth val="0"/>
        <c:axId val="136013312"/>
        <c:axId val="136014848"/>
      </c:lineChart>
      <c:catAx>
        <c:axId val="136013312"/>
        <c:scaling>
          <c:orientation val="minMax"/>
        </c:scaling>
        <c:delete val="0"/>
        <c:axPos val="b"/>
        <c:majorTickMark val="none"/>
        <c:minorTickMark val="none"/>
        <c:tickLblPos val="none"/>
        <c:crossAx val="136014848"/>
        <c:crosses val="autoZero"/>
        <c:auto val="1"/>
        <c:lblAlgn val="ctr"/>
        <c:lblOffset val="100"/>
        <c:noMultiLvlLbl val="0"/>
      </c:catAx>
      <c:valAx>
        <c:axId val="136014848"/>
        <c:scaling>
          <c:orientation val="minMax"/>
          <c:max val="1"/>
        </c:scaling>
        <c:delete val="0"/>
        <c:axPos val="l"/>
        <c:majorGridlines/>
        <c:numFmt formatCode="0.0%" sourceLinked="1"/>
        <c:majorTickMark val="none"/>
        <c:minorTickMark val="none"/>
        <c:tickLblPos val="low"/>
        <c:crossAx val="136013312"/>
        <c:crosses val="autoZero"/>
        <c:crossBetween val="between"/>
        <c:majorUnit val="0.2"/>
      </c:valAx>
      <c:dTable>
        <c:showHorzBorder val="1"/>
        <c:showVertBorder val="1"/>
        <c:showOutline val="1"/>
        <c:showKeys val="1"/>
        <c:txPr>
          <a:bodyPr/>
          <a:lstStyle/>
          <a:p>
            <a:pPr rtl="0">
              <a:defRPr sz="1200"/>
            </a:pPr>
            <a:endParaRPr lang="en-US"/>
          </a:p>
        </c:txPr>
      </c:dTable>
    </c:plotArea>
    <c:plotVisOnly val="1"/>
    <c:dispBlanksAs val="zero"/>
    <c:showDLblsOverMax val="0"/>
  </c:chart>
  <c:printSettings>
    <c:headerFooter/>
    <c:pageMargins b="0.75000000000001465" l="0.70000000000000062" r="0.70000000000000062" t="0.7500000000000146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Program Participants</a:t>
            </a:r>
          </a:p>
        </c:rich>
      </c:tx>
      <c:layout/>
      <c:overlay val="0"/>
    </c:title>
    <c:autoTitleDeleted val="0"/>
    <c:plotArea>
      <c:layout>
        <c:manualLayout>
          <c:layoutTarget val="inner"/>
          <c:xMode val="edge"/>
          <c:yMode val="edge"/>
          <c:x val="0.15263960815742969"/>
          <c:y val="0.20985795107655988"/>
          <c:w val="0.81287916695482665"/>
          <c:h val="0.57991959153585593"/>
        </c:manualLayout>
      </c:layout>
      <c:barChart>
        <c:barDir val="col"/>
        <c:grouping val="clustered"/>
        <c:varyColors val="0"/>
        <c:ser>
          <c:idx val="0"/>
          <c:order val="0"/>
          <c:tx>
            <c:v>1 Year Ago</c:v>
          </c:tx>
          <c:spPr>
            <a:solidFill>
              <a:schemeClr val="lt1"/>
            </a:solidFill>
            <a:ln w="38100" cap="flat" cmpd="sng" algn="ctr">
              <a:solidFill>
                <a:schemeClr val="accent1"/>
              </a:solidFill>
              <a:prstDash val="solid"/>
            </a:ln>
            <a:effectLst/>
          </c:spPr>
          <c:invertIfNegative val="0"/>
          <c:dLbls>
            <c:delete val="1"/>
          </c:dLbls>
          <c:cat>
            <c:strRef>
              <c:f>'State Data'!$B$23:$B$26</c:f>
              <c:strCache>
                <c:ptCount val="4"/>
                <c:pt idx="0">
                  <c:v>Program Participants</c:v>
                </c:pt>
                <c:pt idx="1">
                  <c:v>WIA Participants</c:v>
                </c:pt>
                <c:pt idx="2">
                  <c:v>New WIA Participants</c:v>
                </c:pt>
                <c:pt idx="3">
                  <c:v>WIA Exiters</c:v>
                </c:pt>
              </c:strCache>
            </c:strRef>
          </c:cat>
          <c:val>
            <c:numRef>
              <c:f>'Area Data'!$D$23:$D$26</c:f>
              <c:numCache>
                <c:formatCode>#,##0</c:formatCode>
                <c:ptCount val="4"/>
                <c:pt idx="0">
                  <c:v>3379</c:v>
                </c:pt>
                <c:pt idx="1">
                  <c:v>2193</c:v>
                </c:pt>
                <c:pt idx="2">
                  <c:v>413</c:v>
                </c:pt>
                <c:pt idx="3">
                  <c:v>635</c:v>
                </c:pt>
              </c:numCache>
            </c:numRef>
          </c:val>
        </c:ser>
        <c:ser>
          <c:idx val="1"/>
          <c:order val="1"/>
          <c:tx>
            <c:v>Current Quarter</c:v>
          </c:tx>
          <c:spPr>
            <a:solidFill>
              <a:schemeClr val="lt1"/>
            </a:solidFill>
            <a:ln w="38100" cap="flat" cmpd="sng" algn="ctr">
              <a:solidFill>
                <a:schemeClr val="accent3"/>
              </a:solidFill>
              <a:prstDash val="solid"/>
            </a:ln>
            <a:effectLst/>
          </c:spPr>
          <c:invertIfNegative val="0"/>
          <c:dLbls>
            <c:txPr>
              <a:bodyPr/>
              <a:lstStyle/>
              <a:p>
                <a:pPr>
                  <a:defRPr sz="1400" b="1"/>
                </a:pPr>
                <a:endParaRPr lang="en-US"/>
              </a:p>
            </c:txPr>
            <c:showLegendKey val="0"/>
            <c:showVal val="1"/>
            <c:showCatName val="0"/>
            <c:showSerName val="0"/>
            <c:showPercent val="0"/>
            <c:showBubbleSize val="0"/>
            <c:showLeaderLines val="0"/>
          </c:dLbls>
          <c:cat>
            <c:strRef>
              <c:f>'State Data'!$B$23:$B$26</c:f>
              <c:strCache>
                <c:ptCount val="4"/>
                <c:pt idx="0">
                  <c:v>Program Participants</c:v>
                </c:pt>
                <c:pt idx="1">
                  <c:v>WIA Participants</c:v>
                </c:pt>
                <c:pt idx="2">
                  <c:v>New WIA Participants</c:v>
                </c:pt>
                <c:pt idx="3">
                  <c:v>WIA Exiters</c:v>
                </c:pt>
              </c:strCache>
            </c:strRef>
          </c:cat>
          <c:val>
            <c:numRef>
              <c:f>'Area Data'!$C$23:$C$26</c:f>
              <c:numCache>
                <c:formatCode>#,##0</c:formatCode>
                <c:ptCount val="4"/>
                <c:pt idx="0">
                  <c:v>3078</c:v>
                </c:pt>
                <c:pt idx="1">
                  <c:v>2149</c:v>
                </c:pt>
                <c:pt idx="2">
                  <c:v>387</c:v>
                </c:pt>
                <c:pt idx="3">
                  <c:v>357</c:v>
                </c:pt>
              </c:numCache>
            </c:numRef>
          </c:val>
        </c:ser>
        <c:dLbls>
          <c:showLegendKey val="0"/>
          <c:showVal val="1"/>
          <c:showCatName val="0"/>
          <c:showSerName val="0"/>
          <c:showPercent val="0"/>
          <c:showBubbleSize val="0"/>
        </c:dLbls>
        <c:gapWidth val="150"/>
        <c:axId val="132489984"/>
        <c:axId val="132491520"/>
      </c:barChart>
      <c:catAx>
        <c:axId val="132489984"/>
        <c:scaling>
          <c:orientation val="minMax"/>
        </c:scaling>
        <c:delete val="0"/>
        <c:axPos val="b"/>
        <c:numFmt formatCode="General" sourceLinked="1"/>
        <c:majorTickMark val="out"/>
        <c:minorTickMark val="none"/>
        <c:tickLblPos val="nextTo"/>
        <c:txPr>
          <a:bodyPr/>
          <a:lstStyle/>
          <a:p>
            <a:pPr>
              <a:defRPr b="1"/>
            </a:pPr>
            <a:endParaRPr lang="en-US"/>
          </a:p>
        </c:txPr>
        <c:crossAx val="132491520"/>
        <c:crosses val="autoZero"/>
        <c:auto val="1"/>
        <c:lblAlgn val="ctr"/>
        <c:lblOffset val="100"/>
        <c:noMultiLvlLbl val="0"/>
      </c:catAx>
      <c:valAx>
        <c:axId val="132491520"/>
        <c:scaling>
          <c:orientation val="minMax"/>
        </c:scaling>
        <c:delete val="0"/>
        <c:axPos val="l"/>
        <c:majorGridlines/>
        <c:numFmt formatCode="#,##0" sourceLinked="1"/>
        <c:majorTickMark val="out"/>
        <c:minorTickMark val="none"/>
        <c:tickLblPos val="nextTo"/>
        <c:txPr>
          <a:bodyPr/>
          <a:lstStyle/>
          <a:p>
            <a:pPr>
              <a:defRPr b="0"/>
            </a:pPr>
            <a:endParaRPr lang="en-US"/>
          </a:p>
        </c:txPr>
        <c:crossAx val="132489984"/>
        <c:crosses val="autoZero"/>
        <c:crossBetween val="between"/>
      </c:valAx>
    </c:plotArea>
    <c:legend>
      <c:legendPos val="t"/>
      <c:layout>
        <c:manualLayout>
          <c:xMode val="edge"/>
          <c:yMode val="edge"/>
          <c:x val="0.13111041171228491"/>
          <c:y val="0.12243160984257492"/>
          <c:w val="0.70326992005014577"/>
          <c:h val="8.652776182577146E-2"/>
        </c:manualLayout>
      </c:layout>
      <c:overlay val="0"/>
      <c:txPr>
        <a:bodyPr/>
        <a:lstStyle/>
        <a:p>
          <a:pPr>
            <a:defRPr sz="1300"/>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WIA Dislocated Worker</a:t>
            </a:r>
          </a:p>
        </c:rich>
      </c:tx>
      <c:overlay val="0"/>
    </c:title>
    <c:autoTitleDeleted val="0"/>
    <c:plotArea>
      <c:layout/>
      <c:barChart>
        <c:barDir val="col"/>
        <c:grouping val="clustered"/>
        <c:varyColors val="0"/>
        <c:ser>
          <c:idx val="0"/>
          <c:order val="0"/>
          <c:tx>
            <c:strRef>
              <c:f>'Common Measures'!$C$33</c:f>
              <c:strCache>
                <c:ptCount val="1"/>
                <c:pt idx="0">
                  <c:v>Actual</c:v>
                </c:pt>
              </c:strCache>
            </c:strRef>
          </c:tx>
          <c:invertIfNegative val="0"/>
          <c:dLbls>
            <c:txPr>
              <a:bodyPr/>
              <a:lstStyle/>
              <a:p>
                <a:pPr>
                  <a:defRPr sz="1800"/>
                </a:pPr>
                <a:endParaRPr lang="en-US"/>
              </a:p>
            </c:txPr>
            <c:dLblPos val="outEnd"/>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Measures'!$C$44:$C$46</c:f>
              <c:numCache>
                <c:formatCode>0.0%</c:formatCode>
                <c:ptCount val="3"/>
                <c:pt idx="0">
                  <c:v>0.78154205607476634</c:v>
                </c:pt>
                <c:pt idx="1">
                  <c:v>0.88319999999999999</c:v>
                </c:pt>
              </c:numCache>
            </c:numRef>
          </c:val>
        </c:ser>
        <c:dLbls>
          <c:showLegendKey val="0"/>
          <c:showVal val="0"/>
          <c:showCatName val="0"/>
          <c:showSerName val="0"/>
          <c:showPercent val="0"/>
          <c:showBubbleSize val="0"/>
        </c:dLbls>
        <c:gapWidth val="150"/>
        <c:axId val="136337664"/>
        <c:axId val="136355840"/>
      </c:barChart>
      <c:barChart>
        <c:barDir val="col"/>
        <c:grouping val="clustered"/>
        <c:varyColors val="0"/>
        <c:ser>
          <c:idx val="1"/>
          <c:order val="1"/>
          <c:tx>
            <c:strRef>
              <c:f>'Common Measures'!$D$33</c:f>
              <c:strCache>
                <c:ptCount val="1"/>
                <c:pt idx="0">
                  <c:v>Actual $</c:v>
                </c:pt>
              </c:strCache>
            </c:strRef>
          </c:tx>
          <c:invertIfNegative val="0"/>
          <c:dLbls>
            <c:txPr>
              <a:bodyPr/>
              <a:lstStyle/>
              <a:p>
                <a:pPr>
                  <a:defRPr sz="1800"/>
                </a:pPr>
                <a:endParaRPr lang="en-US"/>
              </a:p>
            </c:txPr>
            <c:dLblPos val="outEnd"/>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Measures'!$D$44:$D$46</c:f>
              <c:numCache>
                <c:formatCode>General</c:formatCode>
                <c:ptCount val="3"/>
                <c:pt idx="2" formatCode="&quot;$&quot;#,##0">
                  <c:v>24242.960144927536</c:v>
                </c:pt>
              </c:numCache>
            </c:numRef>
          </c:val>
        </c:ser>
        <c:dLbls>
          <c:showLegendKey val="0"/>
          <c:showVal val="0"/>
          <c:showCatName val="0"/>
          <c:showSerName val="0"/>
          <c:showPercent val="0"/>
          <c:showBubbleSize val="0"/>
        </c:dLbls>
        <c:gapWidth val="150"/>
        <c:axId val="136358912"/>
        <c:axId val="136357376"/>
      </c:barChart>
      <c:scatterChart>
        <c:scatterStyle val="lineMarker"/>
        <c:varyColors val="0"/>
        <c:ser>
          <c:idx val="2"/>
          <c:order val="2"/>
          <c:tx>
            <c:strRef>
              <c:f>'Common Measures'!$E$33</c:f>
              <c:strCache>
                <c:ptCount val="1"/>
                <c:pt idx="0">
                  <c:v>Target</c:v>
                </c:pt>
              </c:strCache>
            </c:strRef>
          </c:tx>
          <c:spPr>
            <a:ln w="66675">
              <a:noFill/>
            </a:ln>
          </c:spPr>
          <c:dLbls>
            <c:spPr>
              <a:solidFill>
                <a:schemeClr val="lt1"/>
              </a:solidFill>
              <a:ln w="25400" cap="flat" cmpd="sng" algn="ctr">
                <a:solidFill>
                  <a:schemeClr val="accent3"/>
                </a:solidFill>
                <a:prstDash val="solid"/>
              </a:ln>
              <a:effectLst/>
            </c:spPr>
            <c:txPr>
              <a:bodyPr/>
              <a:lstStyle/>
              <a:p>
                <a:pPr>
                  <a:defRPr>
                    <a:solidFill>
                      <a:schemeClr val="dk1"/>
                    </a:solidFill>
                    <a:latin typeface="+mn-lt"/>
                    <a:ea typeface="+mn-ea"/>
                    <a:cs typeface="+mn-cs"/>
                  </a:defRPr>
                </a:pPr>
                <a:endParaRPr lang="en-US"/>
              </a:p>
            </c:txPr>
            <c:dLblPos val="l"/>
            <c:showLegendKey val="0"/>
            <c:showVal val="1"/>
            <c:showCatName val="0"/>
            <c:showSerName val="0"/>
            <c:showPercent val="0"/>
            <c:showBubbleSize val="0"/>
            <c:showLeaderLines val="0"/>
          </c:dLbls>
          <c:xVal>
            <c:strRef>
              <c:f>'Common Measures'!$B$39:$B$41</c:f>
              <c:strCache>
                <c:ptCount val="3"/>
                <c:pt idx="0">
                  <c:v>Entered Employment</c:v>
                </c:pt>
                <c:pt idx="1">
                  <c:v>Retention Rate</c:v>
                </c:pt>
                <c:pt idx="2">
                  <c:v>Average Earnings</c:v>
                </c:pt>
              </c:strCache>
            </c:strRef>
          </c:xVal>
          <c:yVal>
            <c:numRef>
              <c:f>'Common Measures'!$E$44:$E$46</c:f>
              <c:numCache>
                <c:formatCode>0.0%</c:formatCode>
                <c:ptCount val="3"/>
                <c:pt idx="0">
                  <c:v>0.67600000000000005</c:v>
                </c:pt>
                <c:pt idx="1">
                  <c:v>0.83699999999999997</c:v>
                </c:pt>
              </c:numCache>
            </c:numRef>
          </c:yVal>
          <c:smooth val="0"/>
        </c:ser>
        <c:dLbls>
          <c:showLegendKey val="0"/>
          <c:showVal val="0"/>
          <c:showCatName val="0"/>
          <c:showSerName val="0"/>
          <c:showPercent val="0"/>
          <c:showBubbleSize val="0"/>
        </c:dLbls>
        <c:axId val="136337664"/>
        <c:axId val="136355840"/>
      </c:scatterChart>
      <c:scatterChart>
        <c:scatterStyle val="lineMarker"/>
        <c:varyColors val="0"/>
        <c:ser>
          <c:idx val="3"/>
          <c:order val="3"/>
          <c:tx>
            <c:strRef>
              <c:f>'Common Measures'!$F$33</c:f>
              <c:strCache>
                <c:ptCount val="1"/>
                <c:pt idx="0">
                  <c:v>Target $</c:v>
                </c:pt>
              </c:strCache>
            </c:strRef>
          </c:tx>
          <c:spPr>
            <a:ln w="66675">
              <a:noFill/>
            </a:ln>
          </c:spPr>
          <c:dLbls>
            <c:dLbl>
              <c:idx val="2"/>
              <c:dLblPos val="l"/>
              <c:showLegendKey val="0"/>
              <c:showVal val="1"/>
              <c:showCatName val="0"/>
              <c:showSerName val="0"/>
              <c:showPercent val="0"/>
              <c:showBubbleSize val="0"/>
            </c:dLbl>
            <c:spPr>
              <a:solidFill>
                <a:schemeClr val="lt1"/>
              </a:solidFill>
              <a:ln w="25400" cap="flat" cmpd="sng" algn="ctr">
                <a:solidFill>
                  <a:schemeClr val="accent4"/>
                </a:solidFill>
                <a:prstDash val="solid"/>
              </a:ln>
              <a:effectLst/>
            </c:spPr>
            <c:txPr>
              <a:bodyPr/>
              <a:lstStyle/>
              <a:p>
                <a:pPr>
                  <a:defRPr sz="1000">
                    <a:solidFill>
                      <a:schemeClr val="dk1"/>
                    </a:solidFill>
                    <a:latin typeface="+mn-lt"/>
                    <a:ea typeface="+mn-ea"/>
                    <a:cs typeface="+mn-cs"/>
                  </a:defRPr>
                </a:pPr>
                <a:endParaRPr lang="en-US"/>
              </a:p>
            </c:txPr>
            <c:dLblPos val="r"/>
            <c:showLegendKey val="0"/>
            <c:showVal val="1"/>
            <c:showCatName val="0"/>
            <c:showSerName val="0"/>
            <c:showPercent val="0"/>
            <c:showBubbleSize val="0"/>
            <c:showLeaderLines val="0"/>
          </c:dLbls>
          <c:xVal>
            <c:strRef>
              <c:f>'Common Measures'!$B$39:$B$41</c:f>
              <c:strCache>
                <c:ptCount val="3"/>
                <c:pt idx="0">
                  <c:v>Entered Employment</c:v>
                </c:pt>
                <c:pt idx="1">
                  <c:v>Retention Rate</c:v>
                </c:pt>
                <c:pt idx="2">
                  <c:v>Average Earnings</c:v>
                </c:pt>
              </c:strCache>
            </c:strRef>
          </c:xVal>
          <c:yVal>
            <c:numRef>
              <c:f>'Common Measures'!$F$44:$F$46</c:f>
              <c:numCache>
                <c:formatCode>General</c:formatCode>
                <c:ptCount val="3"/>
                <c:pt idx="2" formatCode="&quot;$&quot;#,##0">
                  <c:v>16234</c:v>
                </c:pt>
              </c:numCache>
            </c:numRef>
          </c:yVal>
          <c:smooth val="0"/>
        </c:ser>
        <c:dLbls>
          <c:showLegendKey val="0"/>
          <c:showVal val="0"/>
          <c:showCatName val="0"/>
          <c:showSerName val="0"/>
          <c:showPercent val="0"/>
          <c:showBubbleSize val="0"/>
        </c:dLbls>
        <c:axId val="136358912"/>
        <c:axId val="136357376"/>
      </c:scatterChart>
      <c:catAx>
        <c:axId val="136337664"/>
        <c:scaling>
          <c:orientation val="minMax"/>
        </c:scaling>
        <c:delete val="0"/>
        <c:axPos val="b"/>
        <c:numFmt formatCode="@" sourceLinked="0"/>
        <c:majorTickMark val="none"/>
        <c:minorTickMark val="none"/>
        <c:tickLblPos val="nextTo"/>
        <c:txPr>
          <a:bodyPr/>
          <a:lstStyle/>
          <a:p>
            <a:pPr>
              <a:defRPr sz="1600"/>
            </a:pPr>
            <a:endParaRPr lang="en-US"/>
          </a:p>
        </c:txPr>
        <c:crossAx val="136355840"/>
        <c:crosses val="autoZero"/>
        <c:auto val="1"/>
        <c:lblAlgn val="ctr"/>
        <c:lblOffset val="100"/>
        <c:noMultiLvlLbl val="0"/>
      </c:catAx>
      <c:valAx>
        <c:axId val="136355840"/>
        <c:scaling>
          <c:orientation val="minMax"/>
          <c:max val="1"/>
        </c:scaling>
        <c:delete val="0"/>
        <c:axPos val="l"/>
        <c:majorGridlines/>
        <c:numFmt formatCode="0%" sourceLinked="0"/>
        <c:majorTickMark val="none"/>
        <c:minorTickMark val="none"/>
        <c:tickLblPos val="nextTo"/>
        <c:crossAx val="136337664"/>
        <c:crosses val="autoZero"/>
        <c:crossBetween val="between"/>
        <c:majorUnit val="0.25"/>
      </c:valAx>
      <c:valAx>
        <c:axId val="136357376"/>
        <c:scaling>
          <c:orientation val="minMax"/>
          <c:min val="0"/>
        </c:scaling>
        <c:delete val="0"/>
        <c:axPos val="r"/>
        <c:numFmt formatCode="&quot;$&quot;#,##0" sourceLinked="0"/>
        <c:majorTickMark val="out"/>
        <c:minorTickMark val="none"/>
        <c:tickLblPos val="nextTo"/>
        <c:crossAx val="136358912"/>
        <c:crosses val="max"/>
        <c:crossBetween val="between"/>
        <c:majorUnit val="5000"/>
      </c:valAx>
      <c:catAx>
        <c:axId val="136358912"/>
        <c:scaling>
          <c:orientation val="minMax"/>
        </c:scaling>
        <c:delete val="1"/>
        <c:axPos val="b"/>
        <c:majorTickMark val="out"/>
        <c:minorTickMark val="none"/>
        <c:tickLblPos val="none"/>
        <c:crossAx val="136357376"/>
        <c:crosses val="autoZero"/>
        <c:auto val="1"/>
        <c:lblAlgn val="ctr"/>
        <c:lblOffset val="100"/>
        <c:noMultiLvlLbl val="0"/>
      </c:catAx>
      <c:dTable>
        <c:showHorzBorder val="1"/>
        <c:showVertBorder val="1"/>
        <c:showOutline val="1"/>
        <c:showKeys val="1"/>
      </c:dTable>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Employer Services</a:t>
            </a:r>
          </a:p>
        </c:rich>
      </c:tx>
      <c:layout/>
      <c:overlay val="0"/>
    </c:title>
    <c:autoTitleDeleted val="0"/>
    <c:plotArea>
      <c:layout>
        <c:manualLayout>
          <c:layoutTarget val="inner"/>
          <c:xMode val="edge"/>
          <c:yMode val="edge"/>
          <c:x val="0.1116752599927559"/>
          <c:y val="0.25120719578635975"/>
          <c:w val="0.62289599998446465"/>
          <c:h val="0.59506376299781238"/>
        </c:manualLayout>
      </c:layout>
      <c:barChart>
        <c:barDir val="col"/>
        <c:grouping val="clustered"/>
        <c:varyColors val="0"/>
        <c:ser>
          <c:idx val="0"/>
          <c:order val="0"/>
          <c:tx>
            <c:v>1 Year Ago</c:v>
          </c:tx>
          <c:spPr>
            <a:solidFill>
              <a:schemeClr val="lt1"/>
            </a:solidFill>
            <a:ln w="38100" cap="flat" cmpd="sng" algn="ctr">
              <a:solidFill>
                <a:schemeClr val="accent1"/>
              </a:solidFill>
              <a:prstDash val="solid"/>
            </a:ln>
            <a:effectLst/>
          </c:spPr>
          <c:invertIfNegative val="0"/>
          <c:dLbls>
            <c:delete val="1"/>
          </c:dLbls>
          <c:cat>
            <c:strRef>
              <c:f>'Area Data'!$B$28:$B$29</c:f>
              <c:strCache>
                <c:ptCount val="2"/>
                <c:pt idx="0">
                  <c:v>WA Job Openings</c:v>
                </c:pt>
                <c:pt idx="1">
                  <c:v>Employers Served</c:v>
                </c:pt>
              </c:strCache>
            </c:strRef>
          </c:cat>
          <c:val>
            <c:numRef>
              <c:f>'Area Data'!$D$28:$D$29</c:f>
              <c:numCache>
                <c:formatCode>#,##0</c:formatCode>
                <c:ptCount val="2"/>
                <c:pt idx="0">
                  <c:v>1023</c:v>
                </c:pt>
                <c:pt idx="1">
                  <c:v>1481</c:v>
                </c:pt>
              </c:numCache>
            </c:numRef>
          </c:val>
        </c:ser>
        <c:ser>
          <c:idx val="1"/>
          <c:order val="1"/>
          <c:tx>
            <c:v>Current Quarter</c:v>
          </c:tx>
          <c:spPr>
            <a:solidFill>
              <a:schemeClr val="lt1"/>
            </a:solidFill>
            <a:ln w="38100" cap="flat" cmpd="sng" algn="ctr">
              <a:solidFill>
                <a:schemeClr val="accent3"/>
              </a:solidFill>
              <a:prstDash val="solid"/>
            </a:ln>
            <a:effectLst/>
          </c:spPr>
          <c:invertIfNegative val="0"/>
          <c:dLbls>
            <c:txPr>
              <a:bodyPr/>
              <a:lstStyle/>
              <a:p>
                <a:pPr>
                  <a:defRPr sz="1400" b="1"/>
                </a:pPr>
                <a:endParaRPr lang="en-US"/>
              </a:p>
            </c:txPr>
            <c:showLegendKey val="0"/>
            <c:showVal val="1"/>
            <c:showCatName val="0"/>
            <c:showSerName val="0"/>
            <c:showPercent val="0"/>
            <c:showBubbleSize val="0"/>
            <c:showLeaderLines val="0"/>
          </c:dLbls>
          <c:cat>
            <c:strRef>
              <c:f>'Area Data'!$B$28:$B$29</c:f>
              <c:strCache>
                <c:ptCount val="2"/>
                <c:pt idx="0">
                  <c:v>WA Job Openings</c:v>
                </c:pt>
                <c:pt idx="1">
                  <c:v>Employers Served</c:v>
                </c:pt>
              </c:strCache>
            </c:strRef>
          </c:cat>
          <c:val>
            <c:numRef>
              <c:f>'Area Data'!$C$28:$C$29</c:f>
              <c:numCache>
                <c:formatCode>#,##0</c:formatCode>
                <c:ptCount val="2"/>
                <c:pt idx="0">
                  <c:v>1138</c:v>
                </c:pt>
                <c:pt idx="1">
                  <c:v>1286</c:v>
                </c:pt>
              </c:numCache>
            </c:numRef>
          </c:val>
        </c:ser>
        <c:dLbls>
          <c:showLegendKey val="0"/>
          <c:showVal val="1"/>
          <c:showCatName val="0"/>
          <c:showSerName val="0"/>
          <c:showPercent val="0"/>
          <c:showBubbleSize val="0"/>
        </c:dLbls>
        <c:gapWidth val="150"/>
        <c:axId val="132504960"/>
        <c:axId val="133518464"/>
      </c:barChart>
      <c:catAx>
        <c:axId val="132504960"/>
        <c:scaling>
          <c:orientation val="minMax"/>
        </c:scaling>
        <c:delete val="0"/>
        <c:axPos val="b"/>
        <c:majorGridlines/>
        <c:numFmt formatCode="General" sourceLinked="1"/>
        <c:majorTickMark val="out"/>
        <c:minorTickMark val="none"/>
        <c:tickLblPos val="nextTo"/>
        <c:txPr>
          <a:bodyPr/>
          <a:lstStyle/>
          <a:p>
            <a:pPr>
              <a:defRPr b="1"/>
            </a:pPr>
            <a:endParaRPr lang="en-US"/>
          </a:p>
        </c:txPr>
        <c:crossAx val="133518464"/>
        <c:crosses val="autoZero"/>
        <c:auto val="1"/>
        <c:lblAlgn val="ctr"/>
        <c:lblOffset val="100"/>
        <c:noMultiLvlLbl val="0"/>
      </c:catAx>
      <c:valAx>
        <c:axId val="133518464"/>
        <c:scaling>
          <c:orientation val="minMax"/>
        </c:scaling>
        <c:delete val="0"/>
        <c:axPos val="l"/>
        <c:majorGridlines/>
        <c:numFmt formatCode="#,##0" sourceLinked="1"/>
        <c:majorTickMark val="out"/>
        <c:minorTickMark val="none"/>
        <c:tickLblPos val="nextTo"/>
        <c:txPr>
          <a:bodyPr/>
          <a:lstStyle/>
          <a:p>
            <a:pPr>
              <a:defRPr b="0"/>
            </a:pPr>
            <a:endParaRPr lang="en-US"/>
          </a:p>
        </c:txPr>
        <c:crossAx val="132504960"/>
        <c:crosses val="autoZero"/>
        <c:crossBetween val="between"/>
      </c:valAx>
    </c:plotArea>
    <c:legend>
      <c:legendPos val="t"/>
      <c:layout/>
      <c:overlay val="0"/>
      <c:txPr>
        <a:bodyPr/>
        <a:lstStyle/>
        <a:p>
          <a:pPr>
            <a:defRPr sz="1300"/>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Job Orders</a:t>
            </a:r>
          </a:p>
        </c:rich>
      </c:tx>
      <c:layout/>
      <c:overlay val="0"/>
    </c:title>
    <c:autoTitleDeleted val="0"/>
    <c:plotArea>
      <c:layout>
        <c:manualLayout>
          <c:layoutTarget val="inner"/>
          <c:xMode val="edge"/>
          <c:yMode val="edge"/>
          <c:x val="0.45612107658140366"/>
          <c:y val="0.22990219798772643"/>
          <c:w val="0.46822811349765597"/>
          <c:h val="0.6605759291442217"/>
        </c:manualLayout>
      </c:layout>
      <c:barChart>
        <c:barDir val="bar"/>
        <c:grouping val="clustered"/>
        <c:varyColors val="0"/>
        <c:ser>
          <c:idx val="1"/>
          <c:order val="0"/>
          <c:tx>
            <c:strRef>
              <c:f>'Area Data'!$C$31</c:f>
              <c:strCache>
                <c:ptCount val="1"/>
                <c:pt idx="0">
                  <c:v>Currrent</c:v>
                </c:pt>
              </c:strCache>
            </c:strRef>
          </c:tx>
          <c:spPr>
            <a:solidFill>
              <a:schemeClr val="lt1"/>
            </a:solidFill>
            <a:ln w="25400" cap="flat" cmpd="sng" algn="ctr">
              <a:solidFill>
                <a:schemeClr val="accent3"/>
              </a:solidFill>
              <a:prstDash val="solid"/>
            </a:ln>
            <a:effectLst/>
          </c:spPr>
          <c:invertIfNegative val="0"/>
          <c:dLbls>
            <c:txPr>
              <a:bodyPr/>
              <a:lstStyle/>
              <a:p>
                <a:pPr>
                  <a:defRPr sz="1100" b="1"/>
                </a:pPr>
                <a:endParaRPr lang="en-US"/>
              </a:p>
            </c:txPr>
            <c:showLegendKey val="0"/>
            <c:showVal val="1"/>
            <c:showCatName val="0"/>
            <c:showSerName val="0"/>
            <c:showPercent val="0"/>
            <c:showBubbleSize val="0"/>
            <c:showLeaderLines val="0"/>
          </c:dLbls>
          <c:cat>
            <c:strRef>
              <c:f>'Area Data'!$B$32:$B$33</c:f>
              <c:strCache>
                <c:ptCount val="2"/>
                <c:pt idx="0">
                  <c:v>% of Job Orders in Top 5 Industries</c:v>
                </c:pt>
                <c:pt idx="1">
                  <c:v>WA Job Order Fill Rate</c:v>
                </c:pt>
              </c:strCache>
            </c:strRef>
          </c:cat>
          <c:val>
            <c:numRef>
              <c:f>'Area Data'!$C$32:$C$33</c:f>
              <c:numCache>
                <c:formatCode>0%</c:formatCode>
                <c:ptCount val="2"/>
                <c:pt idx="0">
                  <c:v>0.40786713286713289</c:v>
                </c:pt>
                <c:pt idx="1">
                  <c:v>0.10896309314586995</c:v>
                </c:pt>
              </c:numCache>
            </c:numRef>
          </c:val>
        </c:ser>
        <c:ser>
          <c:idx val="0"/>
          <c:order val="1"/>
          <c:tx>
            <c:strRef>
              <c:f>'Area Data'!$D$31</c:f>
              <c:strCache>
                <c:ptCount val="1"/>
                <c:pt idx="0">
                  <c:v>Last Year</c:v>
                </c:pt>
              </c:strCache>
            </c:strRef>
          </c:tx>
          <c:spPr>
            <a:solidFill>
              <a:schemeClr val="lt1"/>
            </a:solidFill>
            <a:ln w="38100" cap="flat" cmpd="sng" algn="ctr">
              <a:solidFill>
                <a:schemeClr val="accent1"/>
              </a:solidFill>
              <a:prstDash val="solid"/>
            </a:ln>
            <a:effectLst/>
          </c:spPr>
          <c:invertIfNegative val="0"/>
          <c:dLbls>
            <c:delete val="1"/>
          </c:dLbls>
          <c:cat>
            <c:strRef>
              <c:f>'Area Data'!$B$32:$B$33</c:f>
              <c:strCache>
                <c:ptCount val="2"/>
                <c:pt idx="0">
                  <c:v>% of Job Orders in Top 5 Industries</c:v>
                </c:pt>
                <c:pt idx="1">
                  <c:v>WA Job Order Fill Rate</c:v>
                </c:pt>
              </c:strCache>
            </c:strRef>
          </c:cat>
          <c:val>
            <c:numRef>
              <c:f>'Area Data'!$D$32:$D$33</c:f>
              <c:numCache>
                <c:formatCode>0%</c:formatCode>
                <c:ptCount val="2"/>
                <c:pt idx="0">
                  <c:v>0.45233518036865317</c:v>
                </c:pt>
                <c:pt idx="1">
                  <c:v>0.16031280547409579</c:v>
                </c:pt>
              </c:numCache>
            </c:numRef>
          </c:val>
        </c:ser>
        <c:dLbls>
          <c:showLegendKey val="0"/>
          <c:showVal val="1"/>
          <c:showCatName val="0"/>
          <c:showSerName val="0"/>
          <c:showPercent val="0"/>
          <c:showBubbleSize val="0"/>
        </c:dLbls>
        <c:gapWidth val="150"/>
        <c:axId val="133544192"/>
        <c:axId val="133554176"/>
      </c:barChart>
      <c:catAx>
        <c:axId val="133544192"/>
        <c:scaling>
          <c:orientation val="minMax"/>
        </c:scaling>
        <c:delete val="0"/>
        <c:axPos val="l"/>
        <c:majorTickMark val="out"/>
        <c:minorTickMark val="none"/>
        <c:tickLblPos val="nextTo"/>
        <c:txPr>
          <a:bodyPr/>
          <a:lstStyle/>
          <a:p>
            <a:pPr>
              <a:defRPr sz="1100" b="1"/>
            </a:pPr>
            <a:endParaRPr lang="en-US"/>
          </a:p>
        </c:txPr>
        <c:crossAx val="133554176"/>
        <c:crosses val="autoZero"/>
        <c:auto val="1"/>
        <c:lblAlgn val="ctr"/>
        <c:lblOffset val="100"/>
        <c:noMultiLvlLbl val="0"/>
      </c:catAx>
      <c:valAx>
        <c:axId val="133554176"/>
        <c:scaling>
          <c:orientation val="minMax"/>
        </c:scaling>
        <c:delete val="0"/>
        <c:axPos val="b"/>
        <c:majorGridlines/>
        <c:numFmt formatCode="0%" sourceLinked="1"/>
        <c:majorTickMark val="out"/>
        <c:minorTickMark val="none"/>
        <c:tickLblPos val="nextTo"/>
        <c:crossAx val="133544192"/>
        <c:crosses val="autoZero"/>
        <c:crossBetween val="between"/>
        <c:majorUnit val="0.25"/>
      </c:valAx>
    </c:plotArea>
    <c:legend>
      <c:legendPos val="t"/>
      <c:layout/>
      <c:overlay val="0"/>
      <c:txPr>
        <a:bodyPr/>
        <a:lstStyle/>
        <a:p>
          <a:pPr>
            <a:defRPr sz="1300"/>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lrMapOvr bg1="lt1" tx1="dk1" bg2="lt2" tx2="dk2" accent1="accent1" accent2="accent2" accent3="accent3" accent4="accent4" accent5="accent5" accent6="accent6" hlink="hlink" folHlink="folHlink"/>
  <c:chart>
    <c:title>
      <c:tx>
        <c:rich>
          <a:bodyPr/>
          <a:lstStyle/>
          <a:p>
            <a:pPr>
              <a:defRPr/>
            </a:pPr>
            <a:r>
              <a:rPr lang="en-US"/>
              <a:t>Labor Market, Oct 2010 - Sept 2011</a:t>
            </a:r>
          </a:p>
        </c:rich>
      </c:tx>
      <c:layout/>
      <c:overlay val="0"/>
    </c:title>
    <c:autoTitleDeleted val="0"/>
    <c:plotArea>
      <c:layout>
        <c:manualLayout>
          <c:layoutTarget val="inner"/>
          <c:xMode val="edge"/>
          <c:yMode val="edge"/>
          <c:x val="0.15424642327585344"/>
          <c:y val="0.15513094761459903"/>
          <c:w val="0.74978153356254684"/>
          <c:h val="0.59216462348986043"/>
        </c:manualLayout>
      </c:layout>
      <c:barChart>
        <c:barDir val="col"/>
        <c:grouping val="clustered"/>
        <c:varyColors val="0"/>
        <c:ser>
          <c:idx val="1"/>
          <c:order val="1"/>
          <c:tx>
            <c:v>Employed</c:v>
          </c:tx>
          <c:invertIfNegative val="0"/>
          <c:val>
            <c:numRef>
              <c:f>'Area Data'!$G$28:$J$28</c:f>
              <c:numCache>
                <c:formatCode>#,##0</c:formatCode>
                <c:ptCount val="4"/>
                <c:pt idx="0">
                  <c:v>1002643.3333333334</c:v>
                </c:pt>
                <c:pt idx="1">
                  <c:v>1005176.6666666666</c:v>
                </c:pt>
                <c:pt idx="2">
                  <c:v>1012766.6666666666</c:v>
                </c:pt>
                <c:pt idx="3">
                  <c:v>1019840</c:v>
                </c:pt>
              </c:numCache>
            </c:numRef>
          </c:val>
        </c:ser>
        <c:ser>
          <c:idx val="0"/>
          <c:order val="2"/>
          <c:tx>
            <c:v>Labor Force</c:v>
          </c:tx>
          <c:invertIfNegative val="0"/>
          <c:dLbls>
            <c:spPr>
              <a:solidFill>
                <a:schemeClr val="lt1"/>
              </a:solidFill>
              <a:ln w="25400" cap="flat" cmpd="sng" algn="ctr">
                <a:solidFill>
                  <a:schemeClr val="accent1"/>
                </a:solidFill>
                <a:prstDash val="solid"/>
              </a:ln>
              <a:effectLst/>
            </c:spPr>
            <c:txPr>
              <a:bodyPr/>
              <a:lstStyle/>
              <a:p>
                <a:pPr>
                  <a:defRPr sz="1000">
                    <a:solidFill>
                      <a:schemeClr val="dk1"/>
                    </a:solidFill>
                    <a:latin typeface="+mn-lt"/>
                    <a:ea typeface="+mn-ea"/>
                    <a:cs typeface="+mn-cs"/>
                  </a:defRPr>
                </a:pPr>
                <a:endParaRPr lang="en-US"/>
              </a:p>
            </c:txPr>
            <c:dLblPos val="outEnd"/>
            <c:showLegendKey val="0"/>
            <c:showVal val="1"/>
            <c:showCatName val="0"/>
            <c:showSerName val="0"/>
            <c:showPercent val="0"/>
            <c:showBubbleSize val="0"/>
            <c:showLeaderLines val="0"/>
          </c:dLbls>
          <c:val>
            <c:numRef>
              <c:f>'Area Data'!$G$30:$J$30</c:f>
              <c:numCache>
                <c:formatCode>#,##0</c:formatCode>
                <c:ptCount val="4"/>
                <c:pt idx="0">
                  <c:v>1102600</c:v>
                </c:pt>
                <c:pt idx="1">
                  <c:v>1101156.6666666667</c:v>
                </c:pt>
                <c:pt idx="2">
                  <c:v>1102906.6666666667</c:v>
                </c:pt>
                <c:pt idx="3">
                  <c:v>1109133.3333333333</c:v>
                </c:pt>
              </c:numCache>
            </c:numRef>
          </c:val>
        </c:ser>
        <c:dLbls>
          <c:showLegendKey val="0"/>
          <c:showVal val="0"/>
          <c:showCatName val="0"/>
          <c:showSerName val="0"/>
          <c:showPercent val="0"/>
          <c:showBubbleSize val="0"/>
        </c:dLbls>
        <c:gapWidth val="150"/>
        <c:axId val="132644224"/>
        <c:axId val="132642688"/>
      </c:barChart>
      <c:lineChart>
        <c:grouping val="standard"/>
        <c:varyColors val="0"/>
        <c:ser>
          <c:idx val="10"/>
          <c:order val="0"/>
          <c:tx>
            <c:strRef>
              <c:f>'Area Data'!$F$31</c:f>
              <c:strCache>
                <c:ptCount val="1"/>
                <c:pt idx="0">
                  <c:v>Unemployment Rate</c:v>
                </c:pt>
              </c:strCache>
            </c:strRef>
          </c:tx>
          <c:marker>
            <c:symbol val="diamond"/>
            <c:size val="5"/>
            <c:spPr>
              <a:solidFill>
                <a:schemeClr val="accent1"/>
              </a:solidFill>
            </c:spPr>
          </c:marker>
          <c:dLbls>
            <c:txPr>
              <a:bodyPr/>
              <a:lstStyle/>
              <a:p>
                <a:pPr>
                  <a:defRPr sz="1400" b="1"/>
                </a:pPr>
                <a:endParaRPr lang="en-US"/>
              </a:p>
            </c:txPr>
            <c:dLblPos val="l"/>
            <c:showLegendKey val="0"/>
            <c:showVal val="1"/>
            <c:showCatName val="0"/>
            <c:showSerName val="0"/>
            <c:showPercent val="0"/>
            <c:showBubbleSize val="0"/>
            <c:showLeaderLines val="0"/>
          </c:dLbls>
          <c:cat>
            <c:strRef>
              <c:f>'Area Data'!$G$27:$J$27</c:f>
              <c:strCache>
                <c:ptCount val="4"/>
                <c:pt idx="0">
                  <c:v>PY10 Q2</c:v>
                </c:pt>
                <c:pt idx="1">
                  <c:v>PY10 Q3</c:v>
                </c:pt>
                <c:pt idx="2">
                  <c:v>PY10 Q4</c:v>
                </c:pt>
                <c:pt idx="3">
                  <c:v>PY11 Q1</c:v>
                </c:pt>
              </c:strCache>
            </c:strRef>
          </c:cat>
          <c:val>
            <c:numRef>
              <c:f>'Area Data'!$G$31:$J$31</c:f>
              <c:numCache>
                <c:formatCode>0.0%</c:formatCode>
                <c:ptCount val="4"/>
                <c:pt idx="0">
                  <c:v>9.065542052119234E-2</c:v>
                </c:pt>
                <c:pt idx="1">
                  <c:v>8.7162892352586813E-2</c:v>
                </c:pt>
                <c:pt idx="2">
                  <c:v>8.1729490558282353E-2</c:v>
                </c:pt>
                <c:pt idx="3">
                  <c:v>8.0507302999338823E-2</c:v>
                </c:pt>
              </c:numCache>
            </c:numRef>
          </c:val>
          <c:smooth val="0"/>
        </c:ser>
        <c:dLbls>
          <c:showLegendKey val="0"/>
          <c:showVal val="0"/>
          <c:showCatName val="0"/>
          <c:showSerName val="0"/>
          <c:showPercent val="0"/>
          <c:showBubbleSize val="0"/>
        </c:dLbls>
        <c:marker val="1"/>
        <c:smooth val="0"/>
        <c:axId val="132635264"/>
        <c:axId val="132641152"/>
      </c:lineChart>
      <c:catAx>
        <c:axId val="132635264"/>
        <c:scaling>
          <c:orientation val="minMax"/>
        </c:scaling>
        <c:delete val="0"/>
        <c:axPos val="b"/>
        <c:numFmt formatCode="0.00%" sourceLinked="1"/>
        <c:majorTickMark val="out"/>
        <c:minorTickMark val="none"/>
        <c:tickLblPos val="nextTo"/>
        <c:txPr>
          <a:bodyPr/>
          <a:lstStyle/>
          <a:p>
            <a:pPr>
              <a:defRPr sz="1400"/>
            </a:pPr>
            <a:endParaRPr lang="en-US"/>
          </a:p>
        </c:txPr>
        <c:crossAx val="132641152"/>
        <c:crosses val="autoZero"/>
        <c:auto val="1"/>
        <c:lblAlgn val="ctr"/>
        <c:lblOffset val="100"/>
        <c:noMultiLvlLbl val="0"/>
      </c:catAx>
      <c:valAx>
        <c:axId val="132641152"/>
        <c:scaling>
          <c:orientation val="minMax"/>
          <c:min val="0"/>
        </c:scaling>
        <c:delete val="0"/>
        <c:axPos val="l"/>
        <c:majorGridlines/>
        <c:numFmt formatCode="0%" sourceLinked="0"/>
        <c:majorTickMark val="out"/>
        <c:minorTickMark val="none"/>
        <c:tickLblPos val="nextTo"/>
        <c:txPr>
          <a:bodyPr/>
          <a:lstStyle/>
          <a:p>
            <a:pPr>
              <a:defRPr sz="1400"/>
            </a:pPr>
            <a:endParaRPr lang="en-US"/>
          </a:p>
        </c:txPr>
        <c:crossAx val="132635264"/>
        <c:crosses val="autoZero"/>
        <c:crossBetween val="between"/>
      </c:valAx>
      <c:valAx>
        <c:axId val="132642688"/>
        <c:scaling>
          <c:orientation val="minMax"/>
          <c:min val="0"/>
        </c:scaling>
        <c:delete val="0"/>
        <c:axPos val="r"/>
        <c:numFmt formatCode="#,##0" sourceLinked="1"/>
        <c:majorTickMark val="out"/>
        <c:minorTickMark val="none"/>
        <c:tickLblPos val="nextTo"/>
        <c:txPr>
          <a:bodyPr/>
          <a:lstStyle/>
          <a:p>
            <a:pPr>
              <a:defRPr sz="1200"/>
            </a:pPr>
            <a:endParaRPr lang="en-US"/>
          </a:p>
        </c:txPr>
        <c:crossAx val="132644224"/>
        <c:crosses val="max"/>
        <c:crossBetween val="between"/>
      </c:valAx>
      <c:catAx>
        <c:axId val="132644224"/>
        <c:scaling>
          <c:orientation val="minMax"/>
        </c:scaling>
        <c:delete val="1"/>
        <c:axPos val="b"/>
        <c:majorTickMark val="out"/>
        <c:minorTickMark val="none"/>
        <c:tickLblPos val="none"/>
        <c:crossAx val="132642688"/>
        <c:crosses val="autoZero"/>
        <c:auto val="1"/>
        <c:lblAlgn val="ctr"/>
        <c:lblOffset val="100"/>
        <c:noMultiLvlLbl val="0"/>
      </c:catAx>
    </c:plotArea>
    <c:legend>
      <c:legendPos val="b"/>
      <c:layout>
        <c:manualLayout>
          <c:xMode val="edge"/>
          <c:yMode val="edge"/>
          <c:x val="2.5308641975308629E-2"/>
          <c:y val="0.8856373535832297"/>
          <c:w val="0.94938271604938285"/>
          <c:h val="8.8472678779230263E-2"/>
        </c:manualLayout>
      </c:layout>
      <c:overlay val="0"/>
      <c:txPr>
        <a:bodyPr/>
        <a:lstStyle/>
        <a:p>
          <a:pPr>
            <a:defRPr sz="1400"/>
          </a:pPr>
          <a:endParaRPr lang="en-US"/>
        </a:p>
      </c:txPr>
    </c:legend>
    <c:plotVisOnly val="1"/>
    <c:dispBlanksAs val="gap"/>
    <c:showDLblsOverMax val="0"/>
  </c:chart>
  <c:spPr>
    <a:ln>
      <a:solidFill>
        <a:sysClr val="windowText" lastClr="000000"/>
      </a:solidFill>
    </a:ln>
  </c:spPr>
  <c:printSettings>
    <c:headerFooter/>
    <c:pageMargins b="0.75000000000001465" l="0.70000000000000095" r="0.70000000000000095" t="0.75000000000001465" header="0.30000000000000032" footer="0.3000000000000003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lrMapOvr bg1="lt1" tx1="dk1" bg2="lt2" tx2="dk2" accent1="accent1" accent2="accent2" accent3="accent3" accent4="accent4" accent5="accent5" accent6="accent6" hlink="hlink" folHlink="folHlink"/>
  <c:chart>
    <c:title>
      <c:tx>
        <c:rich>
          <a:bodyPr/>
          <a:lstStyle/>
          <a:p>
            <a:pPr>
              <a:defRPr sz="2400"/>
            </a:pPr>
            <a:r>
              <a:rPr lang="en-US"/>
              <a:t>All Customers Common Measures</a:t>
            </a:r>
          </a:p>
        </c:rich>
      </c:tx>
      <c:layout/>
      <c:overlay val="0"/>
    </c:title>
    <c:autoTitleDeleted val="0"/>
    <c:plotArea>
      <c:layout>
        <c:manualLayout>
          <c:layoutTarget val="inner"/>
          <c:xMode val="edge"/>
          <c:yMode val="edge"/>
          <c:x val="0.10394090959917465"/>
          <c:y val="0.18701680634365048"/>
          <c:w val="0.7795612601227585"/>
          <c:h val="0.68290607598101438"/>
        </c:manualLayout>
      </c:layout>
      <c:barChart>
        <c:barDir val="col"/>
        <c:grouping val="clustered"/>
        <c:varyColors val="0"/>
        <c:ser>
          <c:idx val="0"/>
          <c:order val="0"/>
          <c:tx>
            <c:strRef>
              <c:f>'Common Measures'!$C$33</c:f>
              <c:strCache>
                <c:ptCount val="1"/>
                <c:pt idx="0">
                  <c:v>Actual</c:v>
                </c:pt>
              </c:strCache>
            </c:strRef>
          </c:tx>
          <c:spPr>
            <a:scene3d>
              <a:camera prst="orthographicFront"/>
              <a:lightRig rig="balanced" dir="t">
                <a:rot lat="0" lon="0" rev="8700000"/>
              </a:lightRig>
            </a:scene3d>
            <a:sp3d>
              <a:bevelT w="190500" h="38100"/>
            </a:sp3d>
          </c:spPr>
          <c:invertIfNegative val="0"/>
          <c:dPt>
            <c:idx val="1"/>
            <c:invertIfNegative val="0"/>
            <c:bubble3D val="0"/>
            <c:spPr>
              <a:solidFill>
                <a:srgbClr val="C0504D">
                  <a:lumMod val="75000"/>
                </a:srgbClr>
              </a:solidFill>
              <a:scene3d>
                <a:camera prst="orthographicFront"/>
                <a:lightRig rig="balanced" dir="t">
                  <a:rot lat="0" lon="0" rev="8700000"/>
                </a:lightRig>
              </a:scene3d>
              <a:sp3d>
                <a:bevelT w="190500" h="38100"/>
              </a:sp3d>
            </c:spPr>
          </c:dPt>
          <c:dLbls>
            <c:dLbl>
              <c:idx val="1"/>
              <c:numFmt formatCode="0%" sourceLinked="0"/>
              <c:spPr>
                <a:solidFill>
                  <a:sysClr val="window" lastClr="FFFFFF"/>
                </a:solidFill>
                <a:ln w="25400" cap="flat" cmpd="sng" algn="ctr">
                  <a:solidFill>
                    <a:srgbClr val="C0504D"/>
                  </a:solidFill>
                  <a:prstDash val="solid"/>
                </a:ln>
                <a:effectLst/>
              </c:spPr>
              <c:txPr>
                <a:bodyPr/>
                <a:lstStyle/>
                <a:p>
                  <a:pPr>
                    <a:defRPr sz="240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dLbl>
            <c:numFmt formatCode="0%" sourceLinked="0"/>
            <c:spPr>
              <a:solidFill>
                <a:schemeClr val="lt1"/>
              </a:solidFill>
              <a:ln w="25400" cap="flat" cmpd="sng" algn="ctr">
                <a:solidFill>
                  <a:schemeClr val="accent1"/>
                </a:solidFill>
                <a:prstDash val="solid"/>
              </a:ln>
              <a:effectLst/>
            </c:spPr>
            <c:txPr>
              <a:bodyPr/>
              <a:lstStyle/>
              <a:p>
                <a:pPr>
                  <a:defRPr sz="2400">
                    <a:solidFill>
                      <a:schemeClr val="dk1"/>
                    </a:solidFill>
                    <a:latin typeface="+mn-lt"/>
                    <a:ea typeface="+mn-ea"/>
                    <a:cs typeface="+mn-cs"/>
                  </a:defRPr>
                </a:pPr>
                <a:endParaRPr lang="en-US"/>
              </a:p>
            </c:txPr>
            <c:dLblPos val="ctr"/>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Measures'!$C$34:$C$36</c:f>
              <c:numCache>
                <c:formatCode>0.0%</c:formatCode>
                <c:ptCount val="3"/>
                <c:pt idx="0">
                  <c:v>0.49042389599092873</c:v>
                </c:pt>
                <c:pt idx="1">
                  <c:v>0.81298826737876762</c:v>
                </c:pt>
              </c:numCache>
            </c:numRef>
          </c:val>
        </c:ser>
        <c:dLbls>
          <c:showLegendKey val="0"/>
          <c:showVal val="0"/>
          <c:showCatName val="0"/>
          <c:showSerName val="0"/>
          <c:showPercent val="0"/>
          <c:showBubbleSize val="0"/>
        </c:dLbls>
        <c:gapWidth val="150"/>
        <c:axId val="132789760"/>
        <c:axId val="132791296"/>
      </c:barChart>
      <c:barChart>
        <c:barDir val="col"/>
        <c:grouping val="clustered"/>
        <c:varyColors val="0"/>
        <c:ser>
          <c:idx val="1"/>
          <c:order val="1"/>
          <c:tx>
            <c:strRef>
              <c:f>'Common Measures'!$D$33</c:f>
              <c:strCache>
                <c:ptCount val="1"/>
                <c:pt idx="0">
                  <c:v>Actual $</c:v>
                </c:pt>
              </c:strCache>
            </c:strRef>
          </c:tx>
          <c:spPr>
            <a:solidFill>
              <a:srgbClr val="9BBB59">
                <a:lumMod val="75000"/>
              </a:srgbClr>
            </a:solidFill>
            <a:scene3d>
              <a:camera prst="orthographicFront"/>
              <a:lightRig rig="balanced" dir="t">
                <a:rot lat="0" lon="0" rev="8700000"/>
              </a:lightRig>
            </a:scene3d>
            <a:sp3d>
              <a:bevelT w="190500" h="38100"/>
            </a:sp3d>
          </c:spPr>
          <c:invertIfNegative val="0"/>
          <c:dLbls>
            <c:spPr>
              <a:solidFill>
                <a:sysClr val="window" lastClr="FFFFFF"/>
              </a:solidFill>
              <a:ln w="25400" cap="flat" cmpd="sng" algn="ctr">
                <a:solidFill>
                  <a:srgbClr val="9BBB59"/>
                </a:solidFill>
                <a:prstDash val="solid"/>
              </a:ln>
              <a:effectLst/>
            </c:spPr>
            <c:txPr>
              <a:bodyPr/>
              <a:lstStyle/>
              <a:p>
                <a:pPr>
                  <a:defRPr sz="240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Measures'!$D$34:$D$36</c:f>
              <c:numCache>
                <c:formatCode>General</c:formatCode>
                <c:ptCount val="3"/>
                <c:pt idx="2" formatCode="&quot;$&quot;#,##0">
                  <c:v>18358.222889014403</c:v>
                </c:pt>
              </c:numCache>
            </c:numRef>
          </c:val>
        </c:ser>
        <c:dLbls>
          <c:showLegendKey val="0"/>
          <c:showVal val="0"/>
          <c:showCatName val="0"/>
          <c:showSerName val="0"/>
          <c:showPercent val="0"/>
          <c:showBubbleSize val="0"/>
        </c:dLbls>
        <c:gapWidth val="150"/>
        <c:axId val="132798720"/>
        <c:axId val="132797184"/>
      </c:barChart>
      <c:scatterChart>
        <c:scatterStyle val="lineMarker"/>
        <c:varyColors val="0"/>
        <c:ser>
          <c:idx val="2"/>
          <c:order val="2"/>
          <c:tx>
            <c:strRef>
              <c:f>'Common Measures'!$E$33</c:f>
              <c:strCache>
                <c:ptCount val="1"/>
                <c:pt idx="0">
                  <c:v>Target</c:v>
                </c:pt>
              </c:strCache>
            </c:strRef>
          </c:tx>
          <c:spPr>
            <a:ln w="66675">
              <a:noFill/>
            </a:ln>
          </c:spPr>
          <c:marker>
            <c:symbol val="dash"/>
            <c:size val="20"/>
            <c:spPr>
              <a:solidFill>
                <a:sysClr val="windowText" lastClr="000000"/>
              </a:solidFill>
              <a:ln>
                <a:solidFill>
                  <a:sysClr val="windowText" lastClr="000000"/>
                </a:solidFill>
              </a:ln>
            </c:spPr>
          </c:marker>
          <c:dLbls>
            <c:dLbl>
              <c:idx val="0"/>
              <c:numFmt formatCode="0%" sourceLinked="0"/>
              <c:spPr>
                <a:gradFill rotWithShape="1">
                  <a:gsLst>
                    <a:gs pos="0">
                      <a:sysClr val="windowText" lastClr="000000">
                        <a:tint val="50000"/>
                        <a:satMod val="300000"/>
                      </a:sysClr>
                    </a:gs>
                    <a:gs pos="35000">
                      <a:sysClr val="windowText" lastClr="000000">
                        <a:tint val="37000"/>
                        <a:satMod val="300000"/>
                      </a:sysClr>
                    </a:gs>
                    <a:gs pos="100000">
                      <a:sysClr val="windowText" lastClr="000000">
                        <a:tint val="15000"/>
                        <a:satMod val="350000"/>
                      </a:sysClr>
                    </a:gs>
                  </a:gsLst>
                  <a:lin ang="16200000" scaled="1"/>
                </a:gradFill>
                <a:ln w="9525" cap="flat" cmpd="sng" algn="ctr">
                  <a:solidFill>
                    <a:sysClr val="windowText" lastClr="000000">
                      <a:shade val="95000"/>
                      <a:satMod val="105000"/>
                    </a:sysClr>
                  </a:solidFill>
                  <a:prstDash val="solid"/>
                </a:ln>
                <a:effectLst>
                  <a:outerShdw blurRad="40000" dist="20000" dir="5400000" rotWithShape="0">
                    <a:srgbClr val="000000">
                      <a:alpha val="38000"/>
                    </a:srgbClr>
                  </a:outerShdw>
                </a:effectLst>
              </c:spPr>
              <c:txPr>
                <a:bodyPr/>
                <a:lstStyle/>
                <a:p>
                  <a:pPr>
                    <a:defRPr sz="2400">
                      <a:solidFill>
                        <a:sysClr val="windowText" lastClr="000000"/>
                      </a:solidFill>
                      <a:latin typeface="+mn-lt"/>
                      <a:ea typeface="+mn-ea"/>
                      <a:cs typeface="+mn-cs"/>
                    </a:defRPr>
                  </a:pPr>
                  <a:endParaRPr lang="en-US"/>
                </a:p>
              </c:txPr>
              <c:dLblPos val="l"/>
              <c:showLegendKey val="0"/>
              <c:showVal val="1"/>
              <c:showCatName val="0"/>
              <c:showSerName val="0"/>
              <c:showPercent val="0"/>
              <c:showBubbleSize val="0"/>
            </c:dLbl>
            <c:dLbl>
              <c:idx val="1"/>
              <c:numFmt formatCode="0.0%" sourceLinked="0"/>
              <c:spPr>
                <a:gradFill rotWithShape="1">
                  <a:gsLst>
                    <a:gs pos="0">
                      <a:sysClr val="windowText" lastClr="000000">
                        <a:tint val="50000"/>
                        <a:satMod val="300000"/>
                      </a:sysClr>
                    </a:gs>
                    <a:gs pos="35000">
                      <a:sysClr val="windowText" lastClr="000000">
                        <a:tint val="37000"/>
                        <a:satMod val="300000"/>
                      </a:sysClr>
                    </a:gs>
                    <a:gs pos="100000">
                      <a:sysClr val="windowText" lastClr="000000">
                        <a:tint val="15000"/>
                        <a:satMod val="350000"/>
                      </a:sysClr>
                    </a:gs>
                  </a:gsLst>
                  <a:lin ang="16200000" scaled="1"/>
                </a:gradFill>
                <a:ln w="9525" cap="flat" cmpd="sng" algn="ctr">
                  <a:solidFill>
                    <a:sysClr val="windowText" lastClr="000000">
                      <a:shade val="95000"/>
                      <a:satMod val="105000"/>
                    </a:sysClr>
                  </a:solidFill>
                  <a:prstDash val="solid"/>
                </a:ln>
                <a:effectLst>
                  <a:outerShdw blurRad="40000" dist="20000" dir="5400000" rotWithShape="0">
                    <a:srgbClr val="000000">
                      <a:alpha val="38000"/>
                    </a:srgbClr>
                  </a:outerShdw>
                </a:effectLst>
              </c:spPr>
              <c:txPr>
                <a:bodyPr/>
                <a:lstStyle/>
                <a:p>
                  <a:pPr>
                    <a:defRPr sz="2400">
                      <a:solidFill>
                        <a:sysClr val="windowText" lastClr="000000"/>
                      </a:solidFill>
                      <a:latin typeface="+mn-lt"/>
                      <a:ea typeface="+mn-ea"/>
                      <a:cs typeface="+mn-cs"/>
                    </a:defRPr>
                  </a:pPr>
                  <a:endParaRPr lang="en-US"/>
                </a:p>
              </c:txPr>
              <c:dLblPos val="l"/>
              <c:showLegendKey val="0"/>
              <c:showVal val="1"/>
              <c:showCatName val="0"/>
              <c:showSerName val="0"/>
              <c:showPercent val="0"/>
              <c:showBubbleSize val="0"/>
            </c:dLbl>
            <c:numFmt formatCode="0%" sourceLinked="0"/>
            <c:spPr>
              <a:solidFill>
                <a:sysClr val="window" lastClr="FFFFFF"/>
              </a:solidFill>
              <a:ln w="25400" cap="flat" cmpd="sng" algn="ctr">
                <a:solidFill>
                  <a:sysClr val="windowText" lastClr="000000"/>
                </a:solidFill>
                <a:prstDash val="solid"/>
              </a:ln>
              <a:effectLst/>
            </c:spPr>
            <c:txPr>
              <a:bodyPr/>
              <a:lstStyle/>
              <a:p>
                <a:pPr>
                  <a:defRPr sz="2400">
                    <a:solidFill>
                      <a:sysClr val="windowText" lastClr="000000"/>
                    </a:solidFill>
                    <a:latin typeface="+mn-lt"/>
                    <a:ea typeface="+mn-ea"/>
                    <a:cs typeface="+mn-cs"/>
                  </a:defRPr>
                </a:pPr>
                <a:endParaRPr lang="en-US"/>
              </a:p>
            </c:txPr>
            <c:dLblPos val="l"/>
            <c:showLegendKey val="0"/>
            <c:showVal val="1"/>
            <c:showCatName val="0"/>
            <c:showSerName val="0"/>
            <c:showPercent val="0"/>
            <c:showBubbleSize val="0"/>
            <c:showLeaderLines val="0"/>
          </c:dLbls>
          <c:xVal>
            <c:strRef>
              <c:f>'Common Measures'!$B$34:$B$36</c:f>
              <c:strCache>
                <c:ptCount val="3"/>
                <c:pt idx="0">
                  <c:v>Entered Employment</c:v>
                </c:pt>
                <c:pt idx="1">
                  <c:v>Retention Rate</c:v>
                </c:pt>
                <c:pt idx="2">
                  <c:v>Average Earnings</c:v>
                </c:pt>
              </c:strCache>
            </c:strRef>
          </c:xVal>
          <c:yVal>
            <c:numRef>
              <c:f>'Common Measures'!$E$34:$E$36</c:f>
              <c:numCache>
                <c:formatCode>0.00%</c:formatCode>
                <c:ptCount val="3"/>
                <c:pt idx="0">
                  <c:v>0.52</c:v>
                </c:pt>
                <c:pt idx="1">
                  <c:v>0.76600000000000001</c:v>
                </c:pt>
              </c:numCache>
            </c:numRef>
          </c:yVal>
          <c:smooth val="0"/>
        </c:ser>
        <c:dLbls>
          <c:showLegendKey val="0"/>
          <c:showVal val="0"/>
          <c:showCatName val="0"/>
          <c:showSerName val="0"/>
          <c:showPercent val="0"/>
          <c:showBubbleSize val="0"/>
        </c:dLbls>
        <c:axId val="132789760"/>
        <c:axId val="132791296"/>
      </c:scatterChart>
      <c:scatterChart>
        <c:scatterStyle val="lineMarker"/>
        <c:varyColors val="0"/>
        <c:ser>
          <c:idx val="3"/>
          <c:order val="3"/>
          <c:tx>
            <c:strRef>
              <c:f>'Common Measures'!$F$33</c:f>
              <c:strCache>
                <c:ptCount val="1"/>
                <c:pt idx="0">
                  <c:v>Target $</c:v>
                </c:pt>
              </c:strCache>
            </c:strRef>
          </c:tx>
          <c:spPr>
            <a:ln w="66675">
              <a:solidFill>
                <a:sysClr val="windowText" lastClr="000000"/>
              </a:solidFill>
            </a:ln>
          </c:spPr>
          <c:marker>
            <c:symbol val="dash"/>
            <c:size val="20"/>
            <c:spPr>
              <a:solidFill>
                <a:sysClr val="windowText" lastClr="000000"/>
              </a:solidFill>
              <a:ln>
                <a:solidFill>
                  <a:sysClr val="windowText" lastClr="000000"/>
                </a:solidFill>
              </a:ln>
            </c:spPr>
          </c:marker>
          <c:dLbls>
            <c:spPr>
              <a:gradFill rotWithShape="1">
                <a:gsLst>
                  <a:gs pos="0">
                    <a:sysClr val="windowText" lastClr="000000">
                      <a:tint val="50000"/>
                      <a:satMod val="300000"/>
                    </a:sysClr>
                  </a:gs>
                  <a:gs pos="35000">
                    <a:sysClr val="windowText" lastClr="000000">
                      <a:tint val="37000"/>
                      <a:satMod val="300000"/>
                    </a:sysClr>
                  </a:gs>
                  <a:gs pos="100000">
                    <a:sysClr val="windowText" lastClr="000000">
                      <a:tint val="15000"/>
                      <a:satMod val="350000"/>
                    </a:sysClr>
                  </a:gs>
                </a:gsLst>
                <a:lin ang="16200000" scaled="1"/>
              </a:gradFill>
              <a:ln w="9525" cap="flat" cmpd="sng" algn="ctr">
                <a:solidFill>
                  <a:sysClr val="windowText" lastClr="000000">
                    <a:shade val="95000"/>
                    <a:satMod val="105000"/>
                  </a:sysClr>
                </a:solidFill>
                <a:prstDash val="solid"/>
              </a:ln>
              <a:effectLst>
                <a:outerShdw blurRad="40000" dist="20000" dir="5400000" rotWithShape="0">
                  <a:srgbClr val="000000">
                    <a:alpha val="38000"/>
                  </a:srgbClr>
                </a:outerShdw>
              </a:effectLst>
            </c:spPr>
            <c:txPr>
              <a:bodyPr/>
              <a:lstStyle/>
              <a:p>
                <a:pPr>
                  <a:defRPr sz="2400">
                    <a:solidFill>
                      <a:sysClr val="windowText" lastClr="000000"/>
                    </a:solidFill>
                    <a:latin typeface="+mn-lt"/>
                    <a:ea typeface="+mn-ea"/>
                    <a:cs typeface="+mn-cs"/>
                  </a:defRPr>
                </a:pPr>
                <a:endParaRPr lang="en-US"/>
              </a:p>
            </c:txPr>
            <c:dLblPos val="l"/>
            <c:showLegendKey val="0"/>
            <c:showVal val="1"/>
            <c:showCatName val="0"/>
            <c:showSerName val="0"/>
            <c:showPercent val="0"/>
            <c:showBubbleSize val="0"/>
            <c:showLeaderLines val="0"/>
          </c:dLbls>
          <c:xVal>
            <c:strRef>
              <c:f>'Common Measures'!$B$34:$B$36</c:f>
              <c:strCache>
                <c:ptCount val="3"/>
                <c:pt idx="0">
                  <c:v>Entered Employment</c:v>
                </c:pt>
                <c:pt idx="1">
                  <c:v>Retention Rate</c:v>
                </c:pt>
                <c:pt idx="2">
                  <c:v>Average Earnings</c:v>
                </c:pt>
              </c:strCache>
            </c:strRef>
          </c:xVal>
          <c:yVal>
            <c:numRef>
              <c:f>'Common Measures'!$F$34:$F$36</c:f>
              <c:numCache>
                <c:formatCode>General</c:formatCode>
                <c:ptCount val="3"/>
                <c:pt idx="2" formatCode="&quot;$&quot;#,##0">
                  <c:v>13500</c:v>
                </c:pt>
              </c:numCache>
            </c:numRef>
          </c:yVal>
          <c:smooth val="0"/>
        </c:ser>
        <c:dLbls>
          <c:showLegendKey val="0"/>
          <c:showVal val="0"/>
          <c:showCatName val="0"/>
          <c:showSerName val="0"/>
          <c:showPercent val="0"/>
          <c:showBubbleSize val="0"/>
        </c:dLbls>
        <c:axId val="132798720"/>
        <c:axId val="132797184"/>
      </c:scatterChart>
      <c:catAx>
        <c:axId val="132789760"/>
        <c:scaling>
          <c:orientation val="minMax"/>
        </c:scaling>
        <c:delete val="0"/>
        <c:axPos val="b"/>
        <c:majorTickMark val="out"/>
        <c:minorTickMark val="none"/>
        <c:tickLblPos val="nextTo"/>
        <c:txPr>
          <a:bodyPr/>
          <a:lstStyle/>
          <a:p>
            <a:pPr>
              <a:defRPr sz="2000"/>
            </a:pPr>
            <a:endParaRPr lang="en-US"/>
          </a:p>
        </c:txPr>
        <c:crossAx val="132791296"/>
        <c:crosses val="autoZero"/>
        <c:auto val="1"/>
        <c:lblAlgn val="ctr"/>
        <c:lblOffset val="100"/>
        <c:noMultiLvlLbl val="0"/>
      </c:catAx>
      <c:valAx>
        <c:axId val="132791296"/>
        <c:scaling>
          <c:orientation val="minMax"/>
          <c:max val="1"/>
        </c:scaling>
        <c:delete val="0"/>
        <c:axPos val="l"/>
        <c:majorGridlines/>
        <c:numFmt formatCode="0%" sourceLinked="0"/>
        <c:majorTickMark val="out"/>
        <c:minorTickMark val="none"/>
        <c:tickLblPos val="nextTo"/>
        <c:txPr>
          <a:bodyPr/>
          <a:lstStyle/>
          <a:p>
            <a:pPr>
              <a:defRPr sz="1600"/>
            </a:pPr>
            <a:endParaRPr lang="en-US"/>
          </a:p>
        </c:txPr>
        <c:crossAx val="132789760"/>
        <c:crosses val="autoZero"/>
        <c:crossBetween val="between"/>
        <c:majorUnit val="0.25"/>
      </c:valAx>
      <c:valAx>
        <c:axId val="132797184"/>
        <c:scaling>
          <c:orientation val="minMax"/>
          <c:min val="0"/>
        </c:scaling>
        <c:delete val="0"/>
        <c:axPos val="r"/>
        <c:numFmt formatCode="&quot;$&quot;#,##0" sourceLinked="0"/>
        <c:majorTickMark val="out"/>
        <c:minorTickMark val="none"/>
        <c:tickLblPos val="nextTo"/>
        <c:txPr>
          <a:bodyPr/>
          <a:lstStyle/>
          <a:p>
            <a:pPr>
              <a:defRPr sz="1600"/>
            </a:pPr>
            <a:endParaRPr lang="en-US"/>
          </a:p>
        </c:txPr>
        <c:crossAx val="132798720"/>
        <c:crosses val="max"/>
        <c:crossBetween val="between"/>
      </c:valAx>
      <c:catAx>
        <c:axId val="132798720"/>
        <c:scaling>
          <c:orientation val="minMax"/>
        </c:scaling>
        <c:delete val="1"/>
        <c:axPos val="b"/>
        <c:majorTickMark val="out"/>
        <c:minorTickMark val="none"/>
        <c:tickLblPos val="none"/>
        <c:crossAx val="132797184"/>
        <c:crosses val="autoZero"/>
        <c:auto val="1"/>
        <c:lblAlgn val="ctr"/>
        <c:lblOffset val="100"/>
        <c:noMultiLvlLbl val="0"/>
      </c:catAx>
    </c:plotArea>
    <c:plotVisOnly val="1"/>
    <c:dispBlanksAs val="gap"/>
    <c:showDLblsOverMax val="0"/>
  </c:chart>
  <c:printSettings>
    <c:headerFooter/>
    <c:pageMargins b="0.75000000000001465" l="0.70000000000000062" r="0.70000000000000062" t="0.75000000000001465" header="0.30000000000000032" footer="0.30000000000000032"/>
    <c:pageSetup orientation="portrait"/>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700"/>
              <a:t>All Customers Common Measures Over Time</a:t>
            </a:r>
          </a:p>
        </c:rich>
      </c:tx>
      <c:layout>
        <c:manualLayout>
          <c:xMode val="edge"/>
          <c:yMode val="edge"/>
          <c:x val="0.12903372533452417"/>
          <c:y val="1.1684922953114324E-2"/>
        </c:manualLayout>
      </c:layout>
      <c:overlay val="0"/>
    </c:title>
    <c:autoTitleDeleted val="0"/>
    <c:plotArea>
      <c:layout>
        <c:manualLayout>
          <c:layoutTarget val="inner"/>
          <c:xMode val="edge"/>
          <c:yMode val="edge"/>
          <c:x val="0.12548448199413073"/>
          <c:y val="0.16579372249620891"/>
          <c:w val="0.77393180834084419"/>
          <c:h val="0.5875968463699881"/>
        </c:manualLayout>
      </c:layout>
      <c:barChart>
        <c:barDir val="col"/>
        <c:grouping val="clustered"/>
        <c:varyColors val="0"/>
        <c:ser>
          <c:idx val="1"/>
          <c:order val="1"/>
          <c:tx>
            <c:strRef>
              <c:f>'Common Measures'!$D$69</c:f>
              <c:strCache>
                <c:ptCount val="1"/>
                <c:pt idx="0">
                  <c:v>Average Earnings</c:v>
                </c:pt>
              </c:strCache>
            </c:strRef>
          </c:tx>
          <c:spPr>
            <a:solidFill>
              <a:schemeClr val="accent3">
                <a:lumMod val="75000"/>
              </a:schemeClr>
            </a:solidFill>
            <a:scene3d>
              <a:camera prst="orthographicFront"/>
              <a:lightRig rig="threePt" dir="t"/>
            </a:scene3d>
            <a:sp3d>
              <a:bevelT/>
            </a:sp3d>
          </c:spPr>
          <c:invertIfNegative val="0"/>
          <c:dLbls>
            <c:dLbl>
              <c:idx val="0"/>
              <c:layout/>
              <c:showLegendKey val="0"/>
              <c:showVal val="1"/>
              <c:showCatName val="0"/>
              <c:showSerName val="0"/>
              <c:showPercent val="0"/>
              <c:showBubbleSize val="0"/>
            </c:dLbl>
            <c:dLbl>
              <c:idx val="7"/>
              <c:layout/>
              <c:showLegendKey val="0"/>
              <c:showVal val="1"/>
              <c:showCatName val="0"/>
              <c:showSerName val="0"/>
              <c:showPercent val="0"/>
              <c:showBubbleSize val="0"/>
            </c:dLbl>
            <c:dLbl>
              <c:idx val="11"/>
              <c:showLegendKey val="0"/>
              <c:showVal val="1"/>
              <c:showCatName val="0"/>
              <c:showSerName val="0"/>
              <c:showPercent val="0"/>
              <c:showBubbleSize val="0"/>
            </c:dLbl>
            <c:numFmt formatCode="&quot;$&quot;#,##0" sourceLinked="0"/>
            <c:spPr>
              <a:solidFill>
                <a:schemeClr val="lt1"/>
              </a:solidFill>
              <a:ln w="25400" cap="flat" cmpd="sng" algn="ctr">
                <a:solidFill>
                  <a:schemeClr val="accent3"/>
                </a:solidFill>
                <a:prstDash val="solid"/>
              </a:ln>
              <a:effectLst/>
            </c:spPr>
            <c:txPr>
              <a:bodyPr/>
              <a:lstStyle/>
              <a:p>
                <a:pPr>
                  <a:defRPr sz="1200" b="1">
                    <a:solidFill>
                      <a:schemeClr val="dk1"/>
                    </a:solidFill>
                    <a:latin typeface="+mn-lt"/>
                    <a:ea typeface="+mn-ea"/>
                    <a:cs typeface="+mn-cs"/>
                  </a:defRPr>
                </a:pPr>
                <a:endParaRPr lang="en-US"/>
              </a:p>
            </c:txPr>
            <c:showLegendKey val="0"/>
            <c:showVal val="0"/>
            <c:showCatName val="0"/>
            <c:showSerName val="0"/>
            <c:showPercent val="0"/>
            <c:showBubbleSize val="0"/>
          </c:dLbls>
          <c:cat>
            <c:strRef>
              <c:f>'Common Measures'!$B$77:$B$89</c:f>
              <c:strCache>
                <c:ptCount val="13"/>
                <c:pt idx="0">
                  <c:v>2008 Q2</c:v>
                </c:pt>
                <c:pt idx="1">
                  <c:v>2008 Q3</c:v>
                </c:pt>
                <c:pt idx="2">
                  <c:v>2008 Q4</c:v>
                </c:pt>
                <c:pt idx="3">
                  <c:v>2009 Q1</c:v>
                </c:pt>
                <c:pt idx="4">
                  <c:v>2009 Q2</c:v>
                </c:pt>
                <c:pt idx="5">
                  <c:v>2009 Q3</c:v>
                </c:pt>
                <c:pt idx="6">
                  <c:v>2009 Q4</c:v>
                </c:pt>
                <c:pt idx="7">
                  <c:v>2010 Q1</c:v>
                </c:pt>
                <c:pt idx="8">
                  <c:v>2010 Q2</c:v>
                </c:pt>
                <c:pt idx="9">
                  <c:v>2010 Q3</c:v>
                </c:pt>
                <c:pt idx="10">
                  <c:v>2010 Q4</c:v>
                </c:pt>
                <c:pt idx="11">
                  <c:v>2011 Q1</c:v>
                </c:pt>
                <c:pt idx="12">
                  <c:v>2011 Q2</c:v>
                </c:pt>
              </c:strCache>
            </c:strRef>
          </c:cat>
          <c:val>
            <c:numRef>
              <c:f>'Common Measures'!$C$142:$J$142</c:f>
              <c:numCache>
                <c:formatCode>"$"#,##0.00</c:formatCode>
                <c:ptCount val="8"/>
                <c:pt idx="0">
                  <c:v>18245</c:v>
                </c:pt>
                <c:pt idx="1">
                  <c:v>18284</c:v>
                </c:pt>
                <c:pt idx="2">
                  <c:v>18497</c:v>
                </c:pt>
                <c:pt idx="3">
                  <c:v>18478</c:v>
                </c:pt>
                <c:pt idx="4">
                  <c:v>18020</c:v>
                </c:pt>
                <c:pt idx="5">
                  <c:v>18078</c:v>
                </c:pt>
                <c:pt idx="6">
                  <c:v>18127.57</c:v>
                </c:pt>
                <c:pt idx="7">
                  <c:v>18358.222889014403</c:v>
                </c:pt>
              </c:numCache>
            </c:numRef>
          </c:val>
        </c:ser>
        <c:dLbls>
          <c:showLegendKey val="0"/>
          <c:showVal val="0"/>
          <c:showCatName val="0"/>
          <c:showSerName val="0"/>
          <c:showPercent val="0"/>
          <c:showBubbleSize val="0"/>
        </c:dLbls>
        <c:gapWidth val="150"/>
        <c:axId val="133320064"/>
        <c:axId val="133318528"/>
      </c:barChart>
      <c:lineChart>
        <c:grouping val="standard"/>
        <c:varyColors val="0"/>
        <c:ser>
          <c:idx val="0"/>
          <c:order val="0"/>
          <c:tx>
            <c:strRef>
              <c:f>'Common Measures'!$C$69</c:f>
              <c:strCache>
                <c:ptCount val="1"/>
                <c:pt idx="0">
                  <c:v>Entered Employment</c:v>
                </c:pt>
              </c:strCache>
            </c:strRef>
          </c:tx>
          <c:spPr>
            <a:ln w="57150">
              <a:solidFill>
                <a:schemeClr val="accent1">
                  <a:lumMod val="75000"/>
                </a:schemeClr>
              </a:solidFill>
            </a:ln>
          </c:spPr>
          <c:marker>
            <c:symbol val="none"/>
          </c:marker>
          <c:dLbls>
            <c:dLbl>
              <c:idx val="0"/>
              <c:layout/>
              <c:showLegendKey val="0"/>
              <c:showVal val="1"/>
              <c:showCatName val="0"/>
              <c:showSerName val="0"/>
              <c:showPercent val="0"/>
              <c:showBubbleSize val="0"/>
            </c:dLbl>
            <c:dLbl>
              <c:idx val="7"/>
              <c:layout/>
              <c:showLegendKey val="0"/>
              <c:showVal val="1"/>
              <c:showCatName val="0"/>
              <c:showSerName val="0"/>
              <c:showPercent val="0"/>
              <c:showBubbleSize val="0"/>
            </c:dLbl>
            <c:spPr>
              <a:solidFill>
                <a:schemeClr val="lt1"/>
              </a:solidFill>
              <a:ln w="25400" cap="flat" cmpd="sng" algn="ctr">
                <a:solidFill>
                  <a:schemeClr val="accent1"/>
                </a:solidFill>
                <a:prstDash val="solid"/>
              </a:ln>
              <a:effectLst/>
            </c:spPr>
            <c:txPr>
              <a:bodyPr/>
              <a:lstStyle/>
              <a:p>
                <a:pPr>
                  <a:defRPr sz="1200" b="1">
                    <a:solidFill>
                      <a:schemeClr val="dk1"/>
                    </a:solidFill>
                    <a:latin typeface="+mn-lt"/>
                    <a:ea typeface="+mn-ea"/>
                    <a:cs typeface="+mn-cs"/>
                  </a:defRPr>
                </a:pPr>
                <a:endParaRPr lang="en-US"/>
              </a:p>
            </c:txPr>
            <c:showLegendKey val="0"/>
            <c:showVal val="0"/>
            <c:showCatName val="0"/>
            <c:showSerName val="0"/>
            <c:showPercent val="0"/>
            <c:showBubbleSize val="0"/>
          </c:dLbls>
          <c:cat>
            <c:strRef>
              <c:f>'Common Measures'!$C$139:$J$139</c:f>
              <c:strCache>
                <c:ptCount val="8"/>
                <c:pt idx="0">
                  <c:v>PY10 Q1</c:v>
                </c:pt>
                <c:pt idx="1">
                  <c:v>PY10 Q2</c:v>
                </c:pt>
                <c:pt idx="2">
                  <c:v>PY10 Q3</c:v>
                </c:pt>
                <c:pt idx="3">
                  <c:v>PY10 Q4</c:v>
                </c:pt>
                <c:pt idx="4">
                  <c:v>PY11 Q1</c:v>
                </c:pt>
                <c:pt idx="5">
                  <c:v>PY11 Q2</c:v>
                </c:pt>
                <c:pt idx="6">
                  <c:v>PY11 Q3</c:v>
                </c:pt>
                <c:pt idx="7">
                  <c:v>PY11 Q4</c:v>
                </c:pt>
              </c:strCache>
            </c:strRef>
          </c:cat>
          <c:val>
            <c:numRef>
              <c:f>'Common Measures'!$C$140:$J$140</c:f>
              <c:numCache>
                <c:formatCode>0%</c:formatCode>
                <c:ptCount val="8"/>
                <c:pt idx="0">
                  <c:v>0.41</c:v>
                </c:pt>
                <c:pt idx="1">
                  <c:v>0.42</c:v>
                </c:pt>
                <c:pt idx="2">
                  <c:v>0.43</c:v>
                </c:pt>
                <c:pt idx="3">
                  <c:v>0.44</c:v>
                </c:pt>
                <c:pt idx="4">
                  <c:v>0.47</c:v>
                </c:pt>
                <c:pt idx="5">
                  <c:v>0.48</c:v>
                </c:pt>
                <c:pt idx="6">
                  <c:v>0.48</c:v>
                </c:pt>
                <c:pt idx="7">
                  <c:v>0.49042389599092873</c:v>
                </c:pt>
              </c:numCache>
            </c:numRef>
          </c:val>
          <c:smooth val="0"/>
        </c:ser>
        <c:ser>
          <c:idx val="2"/>
          <c:order val="2"/>
          <c:tx>
            <c:strRef>
              <c:f>'Common Measures'!$E$69</c:f>
              <c:strCache>
                <c:ptCount val="1"/>
                <c:pt idx="0">
                  <c:v>Retention </c:v>
                </c:pt>
              </c:strCache>
            </c:strRef>
          </c:tx>
          <c:spPr>
            <a:ln w="57150">
              <a:solidFill>
                <a:schemeClr val="accent2">
                  <a:lumMod val="75000"/>
                </a:schemeClr>
              </a:solidFill>
            </a:ln>
          </c:spPr>
          <c:marker>
            <c:symbol val="none"/>
          </c:marker>
          <c:dLbls>
            <c:dLbl>
              <c:idx val="0"/>
              <c:layout/>
              <c:dLblPos val="b"/>
              <c:showLegendKey val="0"/>
              <c:showVal val="1"/>
              <c:showCatName val="0"/>
              <c:showSerName val="0"/>
              <c:showPercent val="0"/>
              <c:showBubbleSize val="0"/>
            </c:dLbl>
            <c:dLbl>
              <c:idx val="7"/>
              <c:layout/>
              <c:dLblPos val="b"/>
              <c:showLegendKey val="0"/>
              <c:showVal val="1"/>
              <c:showCatName val="0"/>
              <c:showSerName val="0"/>
              <c:showPercent val="0"/>
              <c:showBubbleSize val="0"/>
            </c:dLbl>
            <c:spPr>
              <a:solidFill>
                <a:schemeClr val="lt1"/>
              </a:solidFill>
              <a:ln w="25400" cap="flat" cmpd="sng" algn="ctr">
                <a:solidFill>
                  <a:schemeClr val="accent2"/>
                </a:solidFill>
                <a:prstDash val="solid"/>
              </a:ln>
              <a:effectLst/>
            </c:spPr>
            <c:txPr>
              <a:bodyPr/>
              <a:lstStyle/>
              <a:p>
                <a:pPr>
                  <a:defRPr sz="1200" b="1">
                    <a:solidFill>
                      <a:schemeClr val="dk1"/>
                    </a:solidFill>
                    <a:latin typeface="+mn-lt"/>
                    <a:ea typeface="+mn-ea"/>
                    <a:cs typeface="+mn-cs"/>
                  </a:defRPr>
                </a:pPr>
                <a:endParaRPr lang="en-US"/>
              </a:p>
            </c:txPr>
            <c:dLblPos val="b"/>
            <c:showLegendKey val="0"/>
            <c:showVal val="0"/>
            <c:showCatName val="0"/>
            <c:showSerName val="0"/>
            <c:showPercent val="0"/>
            <c:showBubbleSize val="0"/>
          </c:dLbls>
          <c:cat>
            <c:strRef>
              <c:f>'Common Measures'!$C$139:$J$139</c:f>
              <c:strCache>
                <c:ptCount val="8"/>
                <c:pt idx="0">
                  <c:v>PY10 Q1</c:v>
                </c:pt>
                <c:pt idx="1">
                  <c:v>PY10 Q2</c:v>
                </c:pt>
                <c:pt idx="2">
                  <c:v>PY10 Q3</c:v>
                </c:pt>
                <c:pt idx="3">
                  <c:v>PY10 Q4</c:v>
                </c:pt>
                <c:pt idx="4">
                  <c:v>PY11 Q1</c:v>
                </c:pt>
                <c:pt idx="5">
                  <c:v>PY11 Q2</c:v>
                </c:pt>
                <c:pt idx="6">
                  <c:v>PY11 Q3</c:v>
                </c:pt>
                <c:pt idx="7">
                  <c:v>PY11 Q4</c:v>
                </c:pt>
              </c:strCache>
            </c:strRef>
          </c:cat>
          <c:val>
            <c:numRef>
              <c:f>'Common Measures'!$C$141:$J$141</c:f>
              <c:numCache>
                <c:formatCode>0%</c:formatCode>
                <c:ptCount val="8"/>
                <c:pt idx="0">
                  <c:v>0.76</c:v>
                </c:pt>
                <c:pt idx="1">
                  <c:v>0.77</c:v>
                </c:pt>
                <c:pt idx="2">
                  <c:v>0.78</c:v>
                </c:pt>
                <c:pt idx="3">
                  <c:v>0.79</c:v>
                </c:pt>
                <c:pt idx="4">
                  <c:v>0.79</c:v>
                </c:pt>
                <c:pt idx="5">
                  <c:v>0.8</c:v>
                </c:pt>
                <c:pt idx="6">
                  <c:v>0.81</c:v>
                </c:pt>
                <c:pt idx="7">
                  <c:v>0.81298826737876762</c:v>
                </c:pt>
              </c:numCache>
            </c:numRef>
          </c:val>
          <c:smooth val="0"/>
        </c:ser>
        <c:dLbls>
          <c:showLegendKey val="0"/>
          <c:showVal val="0"/>
          <c:showCatName val="0"/>
          <c:showSerName val="0"/>
          <c:showPercent val="0"/>
          <c:showBubbleSize val="0"/>
        </c:dLbls>
        <c:marker val="1"/>
        <c:smooth val="0"/>
        <c:axId val="133316992"/>
        <c:axId val="133302912"/>
      </c:lineChart>
      <c:valAx>
        <c:axId val="133302912"/>
        <c:scaling>
          <c:orientation val="minMax"/>
          <c:max val="1"/>
          <c:min val="0"/>
        </c:scaling>
        <c:delete val="0"/>
        <c:axPos val="r"/>
        <c:numFmt formatCode="0%" sourceLinked="1"/>
        <c:majorTickMark val="out"/>
        <c:minorTickMark val="none"/>
        <c:tickLblPos val="nextTo"/>
        <c:txPr>
          <a:bodyPr/>
          <a:lstStyle/>
          <a:p>
            <a:pPr>
              <a:defRPr sz="1200"/>
            </a:pPr>
            <a:endParaRPr lang="en-US"/>
          </a:p>
        </c:txPr>
        <c:crossAx val="133316992"/>
        <c:crosses val="max"/>
        <c:crossBetween val="between"/>
        <c:majorUnit val="0.2"/>
      </c:valAx>
      <c:catAx>
        <c:axId val="133316992"/>
        <c:scaling>
          <c:orientation val="minMax"/>
        </c:scaling>
        <c:delete val="0"/>
        <c:axPos val="b"/>
        <c:majorTickMark val="out"/>
        <c:minorTickMark val="none"/>
        <c:tickLblPos val="nextTo"/>
        <c:txPr>
          <a:bodyPr/>
          <a:lstStyle/>
          <a:p>
            <a:pPr>
              <a:defRPr sz="1200"/>
            </a:pPr>
            <a:endParaRPr lang="en-US"/>
          </a:p>
        </c:txPr>
        <c:crossAx val="133302912"/>
        <c:crosses val="autoZero"/>
        <c:auto val="1"/>
        <c:lblAlgn val="ctr"/>
        <c:lblOffset val="100"/>
        <c:noMultiLvlLbl val="0"/>
      </c:catAx>
      <c:valAx>
        <c:axId val="133318528"/>
        <c:scaling>
          <c:orientation val="minMax"/>
          <c:min val="0"/>
        </c:scaling>
        <c:delete val="0"/>
        <c:axPos val="l"/>
        <c:numFmt formatCode="&quot;$&quot;#,##0" sourceLinked="0"/>
        <c:majorTickMark val="out"/>
        <c:minorTickMark val="none"/>
        <c:tickLblPos val="nextTo"/>
        <c:txPr>
          <a:bodyPr/>
          <a:lstStyle/>
          <a:p>
            <a:pPr>
              <a:defRPr sz="1200"/>
            </a:pPr>
            <a:endParaRPr lang="en-US"/>
          </a:p>
        </c:txPr>
        <c:crossAx val="133320064"/>
        <c:crosses val="autoZero"/>
        <c:crossBetween val="between"/>
        <c:majorUnit val="2500"/>
      </c:valAx>
      <c:catAx>
        <c:axId val="133320064"/>
        <c:scaling>
          <c:orientation val="minMax"/>
        </c:scaling>
        <c:delete val="1"/>
        <c:axPos val="b"/>
        <c:majorTickMark val="out"/>
        <c:minorTickMark val="none"/>
        <c:tickLblPos val="none"/>
        <c:crossAx val="133318528"/>
        <c:crosses val="autoZero"/>
        <c:auto val="1"/>
        <c:lblAlgn val="ctr"/>
        <c:lblOffset val="100"/>
        <c:noMultiLvlLbl val="0"/>
      </c:catAx>
    </c:plotArea>
    <c:legend>
      <c:legendPos val="b"/>
      <c:layout/>
      <c:overlay val="0"/>
      <c:txPr>
        <a:bodyPr/>
        <a:lstStyle/>
        <a:p>
          <a:pPr>
            <a:defRPr sz="1400"/>
          </a:pPr>
          <a:endParaRPr lang="en-US"/>
        </a:p>
      </c:txPr>
    </c:legend>
    <c:plotVisOnly val="1"/>
    <c:dispBlanksAs val="gap"/>
    <c:showDLblsOverMax val="0"/>
  </c:chart>
  <c:spPr>
    <a:ln>
      <a:solidFill>
        <a:schemeClr val="tx1"/>
      </a:solidFill>
    </a:ln>
  </c:spPr>
  <c:printSettings>
    <c:headerFooter/>
    <c:pageMargins b="0.75000000000001044" l="0.70000000000000062" r="0.70000000000000062" t="0.75000000000001044"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01838478893323"/>
          <c:y val="5.7466863443974163E-2"/>
          <c:w val="0.70869218917790422"/>
          <c:h val="0.84063265760751238"/>
        </c:manualLayout>
      </c:layout>
      <c:barChart>
        <c:barDir val="bar"/>
        <c:grouping val="clustered"/>
        <c:varyColors val="0"/>
        <c:ser>
          <c:idx val="1"/>
          <c:order val="0"/>
          <c:spPr>
            <a:gradFill flip="none" rotWithShape="1">
              <a:gsLst>
                <a:gs pos="0">
                  <a:srgbClr val="1F497D">
                    <a:lumMod val="60000"/>
                    <a:lumOff val="40000"/>
                    <a:shade val="30000"/>
                    <a:satMod val="115000"/>
                  </a:srgbClr>
                </a:gs>
                <a:gs pos="50000">
                  <a:srgbClr val="1F497D">
                    <a:lumMod val="60000"/>
                    <a:lumOff val="40000"/>
                    <a:shade val="67500"/>
                    <a:satMod val="115000"/>
                  </a:srgbClr>
                </a:gs>
                <a:gs pos="100000">
                  <a:srgbClr val="1F497D">
                    <a:lumMod val="60000"/>
                    <a:lumOff val="40000"/>
                    <a:shade val="100000"/>
                    <a:satMod val="115000"/>
                  </a:srgbClr>
                </a:gs>
              </a:gsLst>
              <a:lin ang="5400000" scaled="1"/>
              <a:tileRect/>
            </a:gradFill>
            <a:effectLst>
              <a:outerShdw blurRad="50800" dist="38100" dir="2700000" algn="tl" rotWithShape="0">
                <a:prstClr val="black">
                  <a:alpha val="40000"/>
                </a:prstClr>
              </a:outerShdw>
            </a:effectLst>
          </c:spPr>
          <c:invertIfNegative val="0"/>
          <c:dLbls>
            <c:txPr>
              <a:bodyPr/>
              <a:lstStyle/>
              <a:p>
                <a:pPr>
                  <a:defRPr sz="1200"/>
                </a:pPr>
                <a:endParaRPr lang="en-US"/>
              </a:p>
            </c:txPr>
            <c:showLegendKey val="0"/>
            <c:showVal val="1"/>
            <c:showCatName val="0"/>
            <c:showSerName val="0"/>
            <c:showPercent val="0"/>
            <c:showBubbleSize val="0"/>
            <c:showLeaderLines val="0"/>
          </c:dLbls>
          <c:cat>
            <c:strRef>
              <c:f>'Area Data'!$B$18:$B$21</c:f>
              <c:strCache>
                <c:ptCount val="4"/>
                <c:pt idx="0">
                  <c:v>Job Search Assistance</c:v>
                </c:pt>
                <c:pt idx="1">
                  <c:v>Assessment </c:v>
                </c:pt>
                <c:pt idx="2">
                  <c:v>Skill Development</c:v>
                </c:pt>
                <c:pt idx="3">
                  <c:v>Referral to Community Services</c:v>
                </c:pt>
              </c:strCache>
            </c:strRef>
          </c:cat>
          <c:val>
            <c:numRef>
              <c:f>'State Data'!$C$18:$C$21</c:f>
              <c:numCache>
                <c:formatCode>#,##0</c:formatCode>
                <c:ptCount val="4"/>
                <c:pt idx="0">
                  <c:v>70547</c:v>
                </c:pt>
                <c:pt idx="1">
                  <c:v>35421</c:v>
                </c:pt>
                <c:pt idx="2">
                  <c:v>6450</c:v>
                </c:pt>
                <c:pt idx="3">
                  <c:v>1927</c:v>
                </c:pt>
              </c:numCache>
            </c:numRef>
          </c:val>
        </c:ser>
        <c:ser>
          <c:idx val="0"/>
          <c:order val="1"/>
          <c:invertIfNegative val="0"/>
          <c:dLbls>
            <c:txPr>
              <a:bodyPr/>
              <a:lstStyle/>
              <a:p>
                <a:pPr>
                  <a:defRPr sz="1100"/>
                </a:pPr>
                <a:endParaRPr lang="en-US"/>
              </a:p>
            </c:txPr>
            <c:showLegendKey val="0"/>
            <c:showVal val="1"/>
            <c:showCatName val="0"/>
            <c:showSerName val="0"/>
            <c:showPercent val="0"/>
            <c:showBubbleSize val="0"/>
            <c:showLeaderLines val="0"/>
          </c:dLbls>
          <c:cat>
            <c:strRef>
              <c:f>'Area Data'!$B$18:$B$21</c:f>
              <c:strCache>
                <c:ptCount val="4"/>
                <c:pt idx="0">
                  <c:v>Job Search Assistance</c:v>
                </c:pt>
                <c:pt idx="1">
                  <c:v>Assessment </c:v>
                </c:pt>
                <c:pt idx="2">
                  <c:v>Skill Development</c:v>
                </c:pt>
                <c:pt idx="3">
                  <c:v>Referral to Community Services</c:v>
                </c:pt>
              </c:strCache>
            </c:strRef>
          </c:cat>
          <c:val>
            <c:numRef>
              <c:f>'State Data'!$D$18:$D$21</c:f>
              <c:numCache>
                <c:formatCode>0%</c:formatCode>
                <c:ptCount val="4"/>
                <c:pt idx="0">
                  <c:v>0.69757346833840916</c:v>
                </c:pt>
                <c:pt idx="1">
                  <c:v>0.35024522406360004</c:v>
                </c:pt>
                <c:pt idx="2">
                  <c:v>6.3778032670173637E-2</c:v>
                </c:pt>
                <c:pt idx="3">
                  <c:v>1.9054305264406914E-2</c:v>
                </c:pt>
              </c:numCache>
            </c:numRef>
          </c:val>
        </c:ser>
        <c:dLbls>
          <c:showLegendKey val="0"/>
          <c:showVal val="1"/>
          <c:showCatName val="0"/>
          <c:showSerName val="0"/>
          <c:showPercent val="0"/>
          <c:showBubbleSize val="0"/>
        </c:dLbls>
        <c:gapWidth val="150"/>
        <c:axId val="130026112"/>
        <c:axId val="130036096"/>
      </c:barChart>
      <c:catAx>
        <c:axId val="130026112"/>
        <c:scaling>
          <c:orientation val="minMax"/>
        </c:scaling>
        <c:delete val="0"/>
        <c:axPos val="l"/>
        <c:numFmt formatCode="General" sourceLinked="1"/>
        <c:majorTickMark val="out"/>
        <c:minorTickMark val="none"/>
        <c:tickLblPos val="nextTo"/>
        <c:txPr>
          <a:bodyPr/>
          <a:lstStyle/>
          <a:p>
            <a:pPr>
              <a:defRPr sz="1400">
                <a:effectLst>
                  <a:outerShdw blurRad="50800" dist="38100" dir="8100000" algn="tr" rotWithShape="0">
                    <a:prstClr val="black">
                      <a:alpha val="40000"/>
                    </a:prstClr>
                  </a:outerShdw>
                </a:effectLst>
              </a:defRPr>
            </a:pPr>
            <a:endParaRPr lang="en-US"/>
          </a:p>
        </c:txPr>
        <c:crossAx val="130036096"/>
        <c:crosses val="autoZero"/>
        <c:auto val="1"/>
        <c:lblAlgn val="ctr"/>
        <c:lblOffset val="100"/>
        <c:noMultiLvlLbl val="0"/>
      </c:catAx>
      <c:valAx>
        <c:axId val="130036096"/>
        <c:scaling>
          <c:orientation val="minMax"/>
        </c:scaling>
        <c:delete val="0"/>
        <c:axPos val="b"/>
        <c:majorGridlines/>
        <c:numFmt formatCode="#,##0" sourceLinked="1"/>
        <c:majorTickMark val="out"/>
        <c:minorTickMark val="none"/>
        <c:tickLblPos val="nextTo"/>
        <c:crossAx val="130026112"/>
        <c:crosses val="autoZero"/>
        <c:crossBetween val="between"/>
        <c:majorUnit val="25000"/>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Program Participants</a:t>
            </a:r>
          </a:p>
        </c:rich>
      </c:tx>
      <c:layout/>
      <c:overlay val="0"/>
    </c:title>
    <c:autoTitleDeleted val="0"/>
    <c:plotArea>
      <c:layout>
        <c:manualLayout>
          <c:layoutTarget val="inner"/>
          <c:xMode val="edge"/>
          <c:yMode val="edge"/>
          <c:x val="0.15263960815742958"/>
          <c:y val="0.20985795107655988"/>
          <c:w val="0.81287916695482665"/>
          <c:h val="0.57991959153585593"/>
        </c:manualLayout>
      </c:layout>
      <c:barChart>
        <c:barDir val="col"/>
        <c:grouping val="clustered"/>
        <c:varyColors val="0"/>
        <c:ser>
          <c:idx val="0"/>
          <c:order val="0"/>
          <c:tx>
            <c:v>1 Year Ago</c:v>
          </c:tx>
          <c:spPr>
            <a:solidFill>
              <a:schemeClr val="lt1"/>
            </a:solidFill>
            <a:ln w="38100" cap="flat" cmpd="sng" algn="ctr">
              <a:solidFill>
                <a:schemeClr val="accent1"/>
              </a:solidFill>
              <a:prstDash val="solid"/>
            </a:ln>
            <a:effectLst/>
          </c:spPr>
          <c:invertIfNegative val="0"/>
          <c:dLbls>
            <c:delete val="1"/>
          </c:dLbls>
          <c:cat>
            <c:strRef>
              <c:f>'State Data'!$B$23:$B$26</c:f>
              <c:strCache>
                <c:ptCount val="4"/>
                <c:pt idx="0">
                  <c:v>Program Participants</c:v>
                </c:pt>
                <c:pt idx="1">
                  <c:v>WIA Participants</c:v>
                </c:pt>
                <c:pt idx="2">
                  <c:v>New WIA Participants</c:v>
                </c:pt>
                <c:pt idx="3">
                  <c:v>WIA Exiters</c:v>
                </c:pt>
              </c:strCache>
            </c:strRef>
          </c:cat>
          <c:val>
            <c:numRef>
              <c:f>'State Data'!$D$23:$D$26</c:f>
              <c:numCache>
                <c:formatCode>#,##0</c:formatCode>
                <c:ptCount val="4"/>
                <c:pt idx="0">
                  <c:v>21665</c:v>
                </c:pt>
                <c:pt idx="1">
                  <c:v>11139</c:v>
                </c:pt>
                <c:pt idx="2">
                  <c:v>1528</c:v>
                </c:pt>
                <c:pt idx="3">
                  <c:v>5022</c:v>
                </c:pt>
              </c:numCache>
            </c:numRef>
          </c:val>
        </c:ser>
        <c:ser>
          <c:idx val="1"/>
          <c:order val="1"/>
          <c:tx>
            <c:v>Current Quarter</c:v>
          </c:tx>
          <c:spPr>
            <a:solidFill>
              <a:schemeClr val="lt1"/>
            </a:solidFill>
            <a:ln w="38100" cap="flat" cmpd="sng" algn="ctr">
              <a:solidFill>
                <a:schemeClr val="accent3"/>
              </a:solidFill>
              <a:prstDash val="solid"/>
            </a:ln>
            <a:effectLst/>
          </c:spPr>
          <c:invertIfNegative val="0"/>
          <c:dLbls>
            <c:txPr>
              <a:bodyPr/>
              <a:lstStyle/>
              <a:p>
                <a:pPr>
                  <a:defRPr sz="1400" b="1"/>
                </a:pPr>
                <a:endParaRPr lang="en-US"/>
              </a:p>
            </c:txPr>
            <c:showLegendKey val="0"/>
            <c:showVal val="1"/>
            <c:showCatName val="0"/>
            <c:showSerName val="0"/>
            <c:showPercent val="0"/>
            <c:showBubbleSize val="0"/>
            <c:showLeaderLines val="0"/>
          </c:dLbls>
          <c:cat>
            <c:strRef>
              <c:f>'State Data'!$B$23:$B$26</c:f>
              <c:strCache>
                <c:ptCount val="4"/>
                <c:pt idx="0">
                  <c:v>Program Participants</c:v>
                </c:pt>
                <c:pt idx="1">
                  <c:v>WIA Participants</c:v>
                </c:pt>
                <c:pt idx="2">
                  <c:v>New WIA Participants</c:v>
                </c:pt>
                <c:pt idx="3">
                  <c:v>WIA Exiters</c:v>
                </c:pt>
              </c:strCache>
            </c:strRef>
          </c:cat>
          <c:val>
            <c:numRef>
              <c:f>'State Data'!$C$23:$C$26</c:f>
              <c:numCache>
                <c:formatCode>#,##0</c:formatCode>
                <c:ptCount val="4"/>
                <c:pt idx="0">
                  <c:v>18768</c:v>
                </c:pt>
                <c:pt idx="1">
                  <c:v>9544</c:v>
                </c:pt>
                <c:pt idx="2">
                  <c:v>1705</c:v>
                </c:pt>
                <c:pt idx="3">
                  <c:v>2003</c:v>
                </c:pt>
              </c:numCache>
            </c:numRef>
          </c:val>
        </c:ser>
        <c:dLbls>
          <c:showLegendKey val="0"/>
          <c:showVal val="1"/>
          <c:showCatName val="0"/>
          <c:showSerName val="0"/>
          <c:showPercent val="0"/>
          <c:showBubbleSize val="0"/>
        </c:dLbls>
        <c:gapWidth val="150"/>
        <c:axId val="130073344"/>
        <c:axId val="130074880"/>
      </c:barChart>
      <c:catAx>
        <c:axId val="130073344"/>
        <c:scaling>
          <c:orientation val="minMax"/>
        </c:scaling>
        <c:delete val="0"/>
        <c:axPos val="b"/>
        <c:numFmt formatCode="General" sourceLinked="1"/>
        <c:majorTickMark val="out"/>
        <c:minorTickMark val="none"/>
        <c:tickLblPos val="nextTo"/>
        <c:txPr>
          <a:bodyPr/>
          <a:lstStyle/>
          <a:p>
            <a:pPr>
              <a:defRPr b="1"/>
            </a:pPr>
            <a:endParaRPr lang="en-US"/>
          </a:p>
        </c:txPr>
        <c:crossAx val="130074880"/>
        <c:crosses val="autoZero"/>
        <c:auto val="1"/>
        <c:lblAlgn val="ctr"/>
        <c:lblOffset val="100"/>
        <c:noMultiLvlLbl val="0"/>
      </c:catAx>
      <c:valAx>
        <c:axId val="130074880"/>
        <c:scaling>
          <c:orientation val="minMax"/>
        </c:scaling>
        <c:delete val="0"/>
        <c:axPos val="l"/>
        <c:majorGridlines/>
        <c:numFmt formatCode="#,##0" sourceLinked="1"/>
        <c:majorTickMark val="out"/>
        <c:minorTickMark val="none"/>
        <c:tickLblPos val="nextTo"/>
        <c:txPr>
          <a:bodyPr/>
          <a:lstStyle/>
          <a:p>
            <a:pPr>
              <a:defRPr b="0"/>
            </a:pPr>
            <a:endParaRPr lang="en-US"/>
          </a:p>
        </c:txPr>
        <c:crossAx val="130073344"/>
        <c:crosses val="autoZero"/>
        <c:crossBetween val="between"/>
      </c:valAx>
    </c:plotArea>
    <c:legend>
      <c:legendPos val="t"/>
      <c:layout>
        <c:manualLayout>
          <c:xMode val="edge"/>
          <c:yMode val="edge"/>
          <c:x val="0.13111041171228491"/>
          <c:y val="0.12243160984257492"/>
          <c:w val="0.70326992005014577"/>
          <c:h val="8.652776182577146E-2"/>
        </c:manualLayout>
      </c:layout>
      <c:overlay val="0"/>
      <c:txPr>
        <a:bodyPr/>
        <a:lstStyle/>
        <a:p>
          <a:pPr>
            <a:defRPr sz="1300"/>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image" Target="../media/image1.jpeg"/><Relationship Id="rId5" Type="http://schemas.openxmlformats.org/officeDocument/2006/relationships/chart" Target="../charts/chart11.xml"/><Relationship Id="rId4"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image" Target="../media/image2.jpeg"/><Relationship Id="rId1" Type="http://schemas.openxmlformats.org/officeDocument/2006/relationships/chart" Target="../charts/chart12.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5</xdr:col>
      <xdr:colOff>306704</xdr:colOff>
      <xdr:row>1</xdr:row>
      <xdr:rowOff>0</xdr:rowOff>
    </xdr:from>
    <xdr:to>
      <xdr:col>11</xdr:col>
      <xdr:colOff>493395</xdr:colOff>
      <xdr:row>10</xdr:row>
      <xdr:rowOff>209430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10</xdr:row>
      <xdr:rowOff>211666</xdr:rowOff>
    </xdr:from>
    <xdr:to>
      <xdr:col>4</xdr:col>
      <xdr:colOff>408517</xdr:colOff>
      <xdr:row>18</xdr:row>
      <xdr:rowOff>512233</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403641</xdr:colOff>
      <xdr:row>10</xdr:row>
      <xdr:rowOff>209053</xdr:rowOff>
    </xdr:from>
    <xdr:to>
      <xdr:col>8</xdr:col>
      <xdr:colOff>484074</xdr:colOff>
      <xdr:row>18</xdr:row>
      <xdr:rowOff>509620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436183</xdr:colOff>
      <xdr:row>10</xdr:row>
      <xdr:rowOff>211215</xdr:rowOff>
    </xdr:from>
    <xdr:to>
      <xdr:col>12</xdr:col>
      <xdr:colOff>22860</xdr:colOff>
      <xdr:row>18</xdr:row>
      <xdr:rowOff>511782</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3175</xdr:colOff>
      <xdr:row>1</xdr:row>
      <xdr:rowOff>85725</xdr:rowOff>
    </xdr:from>
    <xdr:to>
      <xdr:col>4</xdr:col>
      <xdr:colOff>1555750</xdr:colOff>
      <xdr:row>3</xdr:row>
      <xdr:rowOff>152400</xdr:rowOff>
    </xdr:to>
    <xdr:grpSp>
      <xdr:nvGrpSpPr>
        <xdr:cNvPr id="6" name="Group 5"/>
        <xdr:cNvGrpSpPr/>
      </xdr:nvGrpSpPr>
      <xdr:grpSpPr>
        <a:xfrm>
          <a:off x="1812925" y="540808"/>
          <a:ext cx="3690408" cy="722842"/>
          <a:chOff x="866775" y="542925"/>
          <a:chExt cx="2209800" cy="809625"/>
        </a:xfrm>
        <a:noFill/>
        <a:scene3d>
          <a:camera prst="orthographicFront">
            <a:rot lat="0" lon="0" rev="0"/>
          </a:camera>
          <a:lightRig rig="soft" dir="t">
            <a:rot lat="0" lon="0" rev="0"/>
          </a:lightRig>
        </a:scene3d>
      </xdr:grpSpPr>
      <xdr:sp macro="" textlink="">
        <xdr:nvSpPr>
          <xdr:cNvPr id="7" name="Rectangle 6"/>
          <xdr:cNvSpPr/>
        </xdr:nvSpPr>
        <xdr:spPr>
          <a:xfrm>
            <a:off x="866775" y="542925"/>
            <a:ext cx="2209800" cy="80962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800" b="1">
                <a:solidFill>
                  <a:sysClr val="windowText" lastClr="000000"/>
                </a:solidFill>
              </a:rPr>
              <a:t>All</a:t>
            </a:r>
            <a:r>
              <a:rPr lang="en-US" sz="1800" b="1" baseline="0">
                <a:solidFill>
                  <a:sysClr val="windowText" lastClr="000000"/>
                </a:solidFill>
              </a:rPr>
              <a:t> Customers</a:t>
            </a:r>
            <a:endParaRPr lang="en-US" sz="1800" b="1">
              <a:solidFill>
                <a:sysClr val="windowText" lastClr="000000"/>
              </a:solidFill>
            </a:endParaRPr>
          </a:p>
        </xdr:txBody>
      </xdr:sp>
      <xdr:sp macro="" textlink="'Area Data'!C4">
        <xdr:nvSpPr>
          <xdr:cNvPr id="8" name="TextBox 7"/>
          <xdr:cNvSpPr txBox="1"/>
        </xdr:nvSpPr>
        <xdr:spPr>
          <a:xfrm>
            <a:off x="1591263" y="933450"/>
            <a:ext cx="812848" cy="357995"/>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wrap="square" rtlCol="0" anchor="ctr"/>
          <a:lstStyle/>
          <a:p>
            <a:pPr algn="ctr"/>
            <a:fld id="{0C0750D7-5ABE-476F-B921-12DD43285098}" type="TxLink">
              <a:rPr lang="en-US" sz="1600" b="1" i="0" u="none" strike="noStrike">
                <a:solidFill>
                  <a:srgbClr val="000000"/>
                </a:solidFill>
                <a:latin typeface="Calibri"/>
                <a:cs typeface="Calibri"/>
              </a:rPr>
              <a:pPr algn="ctr"/>
              <a:t>35,333</a:t>
            </a:fld>
            <a:endParaRPr lang="en-US" sz="2000" b="1">
              <a:solidFill>
                <a:sysClr val="windowText" lastClr="000000"/>
              </a:solidFill>
            </a:endParaRPr>
          </a:p>
        </xdr:txBody>
      </xdr:sp>
    </xdr:grpSp>
    <xdr:clientData/>
  </xdr:twoCellAnchor>
  <xdr:twoCellAnchor>
    <xdr:from>
      <xdr:col>0</xdr:col>
      <xdr:colOff>137584</xdr:colOff>
      <xdr:row>1</xdr:row>
      <xdr:rowOff>144993</xdr:rowOff>
    </xdr:from>
    <xdr:to>
      <xdr:col>0</xdr:col>
      <xdr:colOff>1332442</xdr:colOff>
      <xdr:row>4</xdr:row>
      <xdr:rowOff>73025</xdr:rowOff>
    </xdr:to>
    <xdr:grpSp>
      <xdr:nvGrpSpPr>
        <xdr:cNvPr id="9" name="Group 8"/>
        <xdr:cNvGrpSpPr/>
      </xdr:nvGrpSpPr>
      <xdr:grpSpPr>
        <a:xfrm>
          <a:off x="137584" y="600076"/>
          <a:ext cx="1194858" cy="827616"/>
          <a:chOff x="3334038" y="421828"/>
          <a:chExt cx="1371599" cy="942975"/>
        </a:xfrm>
        <a:noFill/>
        <a:effectLst>
          <a:outerShdw blurRad="50800" dist="38100" dir="2700000" algn="tl" rotWithShape="0">
            <a:prstClr val="black">
              <a:alpha val="40000"/>
            </a:prstClr>
          </a:outerShdw>
        </a:effectLst>
        <a:scene3d>
          <a:camera prst="orthographicFront">
            <a:rot lat="0" lon="0" rev="0"/>
          </a:camera>
          <a:lightRig rig="contrasting" dir="t">
            <a:rot lat="0" lon="0" rev="1500000"/>
          </a:lightRig>
        </a:scene3d>
      </xdr:grpSpPr>
      <xdr:sp macro="" textlink="">
        <xdr:nvSpPr>
          <xdr:cNvPr id="10" name="Rectangle 9"/>
          <xdr:cNvSpPr/>
        </xdr:nvSpPr>
        <xdr:spPr>
          <a:xfrm>
            <a:off x="3334038" y="421828"/>
            <a:ext cx="1371599" cy="9429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400" b="1">
                <a:solidFill>
                  <a:sysClr val="windowText" lastClr="000000"/>
                </a:solidFill>
              </a:rPr>
              <a:t>Self-Service Only</a:t>
            </a:r>
          </a:p>
        </xdr:txBody>
      </xdr:sp>
      <xdr:sp macro="" textlink="'Area Data'!C6">
        <xdr:nvSpPr>
          <xdr:cNvPr id="11" name="TextBox 10"/>
          <xdr:cNvSpPr txBox="1"/>
        </xdr:nvSpPr>
        <xdr:spPr>
          <a:xfrm>
            <a:off x="3582838" y="955485"/>
            <a:ext cx="876300" cy="349704"/>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wrap="square" rtlCol="0" anchor="ctr"/>
          <a:lstStyle/>
          <a:p>
            <a:pPr algn="ctr"/>
            <a:fld id="{0ED87969-7EE9-47E1-B6C9-55F5F4A40280}" type="TxLink">
              <a:rPr lang="en-US" sz="1400" b="1" i="0" u="none" strike="noStrike">
                <a:solidFill>
                  <a:srgbClr val="000000"/>
                </a:solidFill>
                <a:latin typeface="Calibri"/>
                <a:cs typeface="Calibri"/>
              </a:rPr>
              <a:pPr algn="ctr"/>
              <a:t>15,105</a:t>
            </a:fld>
            <a:endParaRPr lang="en-US" sz="1200" b="1">
              <a:solidFill>
                <a:sysClr val="windowText" lastClr="000000"/>
              </a:solidFill>
            </a:endParaRPr>
          </a:p>
        </xdr:txBody>
      </xdr:sp>
    </xdr:grpSp>
    <xdr:clientData/>
  </xdr:twoCellAnchor>
  <xdr:twoCellAnchor>
    <xdr:from>
      <xdr:col>0</xdr:col>
      <xdr:colOff>1672169</xdr:colOff>
      <xdr:row>4</xdr:row>
      <xdr:rowOff>80436</xdr:rowOff>
    </xdr:from>
    <xdr:to>
      <xdr:col>4</xdr:col>
      <xdr:colOff>751419</xdr:colOff>
      <xdr:row>6</xdr:row>
      <xdr:rowOff>251886</xdr:rowOff>
    </xdr:to>
    <xdr:grpSp>
      <xdr:nvGrpSpPr>
        <xdr:cNvPr id="12" name="Group 11"/>
        <xdr:cNvGrpSpPr/>
      </xdr:nvGrpSpPr>
      <xdr:grpSpPr>
        <a:xfrm>
          <a:off x="1672169" y="1435103"/>
          <a:ext cx="3026833" cy="658283"/>
          <a:chOff x="751249" y="542925"/>
          <a:chExt cx="2209800" cy="809625"/>
        </a:xfrm>
        <a:noFill/>
        <a:scene3d>
          <a:camera prst="orthographicFront">
            <a:rot lat="0" lon="0" rev="0"/>
          </a:camera>
          <a:lightRig rig="soft" dir="t">
            <a:rot lat="0" lon="0" rev="0"/>
          </a:lightRig>
        </a:scene3d>
      </xdr:grpSpPr>
      <xdr:sp macro="" textlink="">
        <xdr:nvSpPr>
          <xdr:cNvPr id="13" name="Rectangle 12"/>
          <xdr:cNvSpPr/>
        </xdr:nvSpPr>
        <xdr:spPr>
          <a:xfrm>
            <a:off x="751249" y="542925"/>
            <a:ext cx="2209800" cy="80962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400" b="1" baseline="0">
                <a:solidFill>
                  <a:sysClr val="windowText" lastClr="000000"/>
                </a:solidFill>
              </a:rPr>
              <a:t>Staff-Assisted  Customers</a:t>
            </a:r>
            <a:endParaRPr lang="en-US" sz="1400" b="1">
              <a:solidFill>
                <a:sysClr val="windowText" lastClr="000000"/>
              </a:solidFill>
            </a:endParaRPr>
          </a:p>
        </xdr:txBody>
      </xdr:sp>
      <xdr:sp macro="" textlink="'Area Data'!C5">
        <xdr:nvSpPr>
          <xdr:cNvPr id="14" name="TextBox 13"/>
          <xdr:cNvSpPr txBox="1"/>
        </xdr:nvSpPr>
        <xdr:spPr>
          <a:xfrm>
            <a:off x="1253379" y="844202"/>
            <a:ext cx="1258807" cy="450324"/>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wrap="square" rtlCol="0" anchor="ctr"/>
          <a:lstStyle/>
          <a:p>
            <a:pPr algn="ctr"/>
            <a:fld id="{DE08335C-A155-4E24-99A0-4370A5EBF48C}" type="TxLink">
              <a:rPr lang="en-US" sz="1400" b="1" i="0" u="none" strike="noStrike">
                <a:solidFill>
                  <a:srgbClr val="000000"/>
                </a:solidFill>
                <a:latin typeface="Calibri"/>
                <a:cs typeface="Calibri"/>
              </a:rPr>
              <a:pPr algn="ctr"/>
              <a:t>20,228</a:t>
            </a:fld>
            <a:endParaRPr lang="en-US" sz="1200" b="1">
              <a:solidFill>
                <a:sysClr val="windowText" lastClr="000000"/>
              </a:solidFill>
            </a:endParaRPr>
          </a:p>
        </xdr:txBody>
      </xdr:sp>
    </xdr:grpSp>
    <xdr:clientData/>
  </xdr:twoCellAnchor>
  <xdr:twoCellAnchor>
    <xdr:from>
      <xdr:col>0</xdr:col>
      <xdr:colOff>400051</xdr:colOff>
      <xdr:row>6</xdr:row>
      <xdr:rowOff>527048</xdr:rowOff>
    </xdr:from>
    <xdr:to>
      <xdr:col>1</xdr:col>
      <xdr:colOff>25401</xdr:colOff>
      <xdr:row>10</xdr:row>
      <xdr:rowOff>101600</xdr:rowOff>
    </xdr:to>
    <xdr:sp macro="" textlink="">
      <xdr:nvSpPr>
        <xdr:cNvPr id="15" name="Rectangle 14"/>
        <xdr:cNvSpPr/>
      </xdr:nvSpPr>
      <xdr:spPr>
        <a:xfrm>
          <a:off x="400051" y="2346323"/>
          <a:ext cx="1435100" cy="869952"/>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200" b="1" baseline="0">
              <a:solidFill>
                <a:sysClr val="windowText" lastClr="000000"/>
              </a:solidFill>
            </a:rPr>
            <a:t>Core Only </a:t>
          </a:r>
          <a:endParaRPr lang="en-US" sz="1200" b="1">
            <a:solidFill>
              <a:sysClr val="windowText" lastClr="000000"/>
            </a:solidFill>
          </a:endParaRPr>
        </a:p>
      </xdr:txBody>
    </xdr:sp>
    <xdr:clientData/>
  </xdr:twoCellAnchor>
  <xdr:twoCellAnchor>
    <xdr:from>
      <xdr:col>0</xdr:col>
      <xdr:colOff>685801</xdr:colOff>
      <xdr:row>8</xdr:row>
      <xdr:rowOff>171448</xdr:rowOff>
    </xdr:from>
    <xdr:to>
      <xdr:col>0</xdr:col>
      <xdr:colOff>1600201</xdr:colOff>
      <xdr:row>10</xdr:row>
      <xdr:rowOff>0</xdr:rowOff>
    </xdr:to>
    <xdr:sp macro="" textlink="'Area Data'!C12">
      <xdr:nvSpPr>
        <xdr:cNvPr id="16" name="TextBox 15"/>
        <xdr:cNvSpPr txBox="1"/>
      </xdr:nvSpPr>
      <xdr:spPr>
        <a:xfrm>
          <a:off x="685801" y="2792728"/>
          <a:ext cx="914400" cy="285752"/>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6C8F0539-0F05-44E4-A7BC-E6ED2D9006AA}" type="TxLink">
            <a:rPr lang="en-US" sz="1400" b="1" i="0" u="none" strike="noStrike">
              <a:solidFill>
                <a:srgbClr val="000000"/>
              </a:solidFill>
              <a:latin typeface="Calibri"/>
              <a:cs typeface="Calibri"/>
            </a:rPr>
            <a:pPr algn="ctr"/>
            <a:t>17,964</a:t>
          </a:fld>
          <a:endParaRPr lang="en-US" sz="1400" b="1">
            <a:solidFill>
              <a:sysClr val="windowText" lastClr="000000"/>
            </a:solidFill>
          </a:endParaRPr>
        </a:p>
      </xdr:txBody>
    </xdr:sp>
    <xdr:clientData/>
  </xdr:twoCellAnchor>
  <xdr:twoCellAnchor>
    <xdr:from>
      <xdr:col>4</xdr:col>
      <xdr:colOff>444499</xdr:colOff>
      <xdr:row>6</xdr:row>
      <xdr:rowOff>541864</xdr:rowOff>
    </xdr:from>
    <xdr:to>
      <xdr:col>6</xdr:col>
      <xdr:colOff>236157</xdr:colOff>
      <xdr:row>10</xdr:row>
      <xdr:rowOff>120650</xdr:rowOff>
    </xdr:to>
    <xdr:sp macro="" textlink="">
      <xdr:nvSpPr>
        <xdr:cNvPr id="17" name="Rectangle 16"/>
        <xdr:cNvSpPr/>
      </xdr:nvSpPr>
      <xdr:spPr>
        <a:xfrm>
          <a:off x="4235449" y="2361139"/>
          <a:ext cx="2001458" cy="874186"/>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l"/>
          <a:r>
            <a:rPr lang="en-US" sz="1200" b="1" baseline="0">
              <a:solidFill>
                <a:sysClr val="windowText" lastClr="000000"/>
              </a:solidFill>
            </a:rPr>
            <a:t>          Training</a:t>
          </a:r>
        </a:p>
        <a:p>
          <a:pPr algn="l"/>
          <a:r>
            <a:rPr lang="en-US" sz="1200" b="1" baseline="0">
              <a:solidFill>
                <a:sysClr val="windowText" lastClr="000000"/>
              </a:solidFill>
            </a:rPr>
            <a:t>               New:</a:t>
          </a:r>
        </a:p>
        <a:p>
          <a:pPr algn="l"/>
          <a:r>
            <a:rPr lang="en-US" sz="1200" b="1" baseline="0">
              <a:solidFill>
                <a:sysClr val="windowText" lastClr="000000"/>
              </a:solidFill>
            </a:rPr>
            <a:t>        Ongoing:</a:t>
          </a:r>
        </a:p>
        <a:p>
          <a:pPr algn="l"/>
          <a:r>
            <a:rPr lang="en-US" sz="1200" b="1" baseline="0">
              <a:solidFill>
                <a:sysClr val="windowText" lastClr="000000"/>
              </a:solidFill>
            </a:rPr>
            <a:t>      Complete:</a:t>
          </a:r>
        </a:p>
        <a:p>
          <a:pPr algn="ctr"/>
          <a:endParaRPr lang="en-US" sz="1200" b="1">
            <a:solidFill>
              <a:sysClr val="windowText" lastClr="000000"/>
            </a:solidFill>
          </a:endParaRPr>
        </a:p>
      </xdr:txBody>
    </xdr:sp>
    <xdr:clientData/>
  </xdr:twoCellAnchor>
  <xdr:twoCellAnchor>
    <xdr:from>
      <xdr:col>4</xdr:col>
      <xdr:colOff>1533526</xdr:colOff>
      <xdr:row>8</xdr:row>
      <xdr:rowOff>120651</xdr:rowOff>
    </xdr:from>
    <xdr:to>
      <xdr:col>6</xdr:col>
      <xdr:colOff>112333</xdr:colOff>
      <xdr:row>9</xdr:row>
      <xdr:rowOff>104775</xdr:rowOff>
    </xdr:to>
    <xdr:sp macro="" textlink="'Area Data'!C15">
      <xdr:nvSpPr>
        <xdr:cNvPr id="18" name="TextBox 17"/>
        <xdr:cNvSpPr txBox="1"/>
      </xdr:nvSpPr>
      <xdr:spPr>
        <a:xfrm>
          <a:off x="5324476" y="2759076"/>
          <a:ext cx="788607" cy="222249"/>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994379F8-B75C-4EC3-AC06-B28683296EE9}" type="TxLink">
            <a:rPr lang="en-US" sz="1200" b="1" i="0" u="none" strike="noStrike">
              <a:solidFill>
                <a:srgbClr val="000000"/>
              </a:solidFill>
              <a:latin typeface="Calibri"/>
              <a:cs typeface="Calibri"/>
            </a:rPr>
            <a:pPr algn="ctr"/>
            <a:t>1,755</a:t>
          </a:fld>
          <a:endParaRPr lang="en-US" sz="1300" b="1">
            <a:solidFill>
              <a:sysClr val="windowText" lastClr="000000"/>
            </a:solidFill>
          </a:endParaRPr>
        </a:p>
      </xdr:txBody>
    </xdr:sp>
    <xdr:clientData/>
  </xdr:twoCellAnchor>
  <xdr:twoCellAnchor>
    <xdr:from>
      <xdr:col>1</xdr:col>
      <xdr:colOff>238125</xdr:colOff>
      <xdr:row>6</xdr:row>
      <xdr:rowOff>536573</xdr:rowOff>
    </xdr:from>
    <xdr:to>
      <xdr:col>4</xdr:col>
      <xdr:colOff>228600</xdr:colOff>
      <xdr:row>10</xdr:row>
      <xdr:rowOff>120650</xdr:rowOff>
    </xdr:to>
    <xdr:sp macro="" textlink="">
      <xdr:nvSpPr>
        <xdr:cNvPr id="19" name="Rectangle 18"/>
        <xdr:cNvSpPr/>
      </xdr:nvSpPr>
      <xdr:spPr>
        <a:xfrm>
          <a:off x="2047875" y="2355848"/>
          <a:ext cx="1971675" cy="87947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200" b="1" baseline="0">
              <a:solidFill>
                <a:sysClr val="windowText" lastClr="000000"/>
              </a:solidFill>
            </a:rPr>
            <a:t>Core/Intensive Only</a:t>
          </a:r>
          <a:endParaRPr lang="en-US" sz="1200" b="1">
            <a:solidFill>
              <a:sysClr val="windowText" lastClr="000000"/>
            </a:solidFill>
          </a:endParaRPr>
        </a:p>
      </xdr:txBody>
    </xdr:sp>
    <xdr:clientData/>
  </xdr:twoCellAnchor>
  <xdr:twoCellAnchor>
    <xdr:from>
      <xdr:col>4</xdr:col>
      <xdr:colOff>1554692</xdr:colOff>
      <xdr:row>7</xdr:row>
      <xdr:rowOff>183093</xdr:rowOff>
    </xdr:from>
    <xdr:to>
      <xdr:col>6</xdr:col>
      <xdr:colOff>76200</xdr:colOff>
      <xdr:row>8</xdr:row>
      <xdr:rowOff>144780</xdr:rowOff>
    </xdr:to>
    <xdr:sp macro="" textlink="'Area Data'!C14">
      <xdr:nvSpPr>
        <xdr:cNvPr id="20" name="TextBox 19"/>
        <xdr:cNvSpPr txBox="1"/>
      </xdr:nvSpPr>
      <xdr:spPr>
        <a:xfrm>
          <a:off x="5349452" y="2560533"/>
          <a:ext cx="639868" cy="205527"/>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9ECB41BD-538E-4201-A34A-9B6DE3095FD6}" type="TxLink">
            <a:rPr lang="en-US" sz="1200" b="1" i="0" u="none" strike="noStrike">
              <a:solidFill>
                <a:srgbClr val="000000"/>
              </a:solidFill>
              <a:latin typeface="Calibri"/>
              <a:cs typeface="Calibri"/>
            </a:rPr>
            <a:pPr algn="ctr"/>
            <a:t>627</a:t>
          </a:fld>
          <a:endParaRPr lang="en-US" sz="1300" b="1">
            <a:solidFill>
              <a:sysClr val="windowText" lastClr="000000"/>
            </a:solidFill>
          </a:endParaRPr>
        </a:p>
      </xdr:txBody>
    </xdr:sp>
    <xdr:clientData/>
  </xdr:twoCellAnchor>
  <xdr:twoCellAnchor>
    <xdr:from>
      <xdr:col>4</xdr:col>
      <xdr:colOff>1450976</xdr:colOff>
      <xdr:row>9</xdr:row>
      <xdr:rowOff>100754</xdr:rowOff>
    </xdr:from>
    <xdr:to>
      <xdr:col>6</xdr:col>
      <xdr:colOff>140908</xdr:colOff>
      <xdr:row>10</xdr:row>
      <xdr:rowOff>74295</xdr:rowOff>
    </xdr:to>
    <xdr:sp macro="" textlink="'Area Data'!C16">
      <xdr:nvSpPr>
        <xdr:cNvPr id="21" name="TextBox 20"/>
        <xdr:cNvSpPr txBox="1"/>
      </xdr:nvSpPr>
      <xdr:spPr>
        <a:xfrm>
          <a:off x="5245736" y="2950634"/>
          <a:ext cx="808292" cy="202141"/>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A9AAB5F9-9654-497F-8612-D4128C7B8B68}" type="TxLink">
            <a:rPr lang="en-US" sz="1200" b="1" i="0" u="none" strike="noStrike">
              <a:solidFill>
                <a:srgbClr val="000000"/>
              </a:solidFill>
              <a:latin typeface="Calibri"/>
              <a:cs typeface="Calibri"/>
            </a:rPr>
            <a:pPr algn="ctr"/>
            <a:t>822</a:t>
          </a:fld>
          <a:endParaRPr lang="en-US" sz="1300" b="1">
            <a:solidFill>
              <a:sysClr val="windowText" lastClr="000000"/>
            </a:solidFill>
          </a:endParaRPr>
        </a:p>
      </xdr:txBody>
    </xdr:sp>
    <xdr:clientData/>
  </xdr:twoCellAnchor>
  <xdr:twoCellAnchor>
    <xdr:from>
      <xdr:col>1</xdr:col>
      <xdr:colOff>331408</xdr:colOff>
      <xdr:row>8</xdr:row>
      <xdr:rowOff>167216</xdr:rowOff>
    </xdr:from>
    <xdr:to>
      <xdr:col>4</xdr:col>
      <xdr:colOff>93283</xdr:colOff>
      <xdr:row>9</xdr:row>
      <xdr:rowOff>180975</xdr:rowOff>
    </xdr:to>
    <xdr:sp macro="" textlink="'Area Data'!C13">
      <xdr:nvSpPr>
        <xdr:cNvPr id="22" name="TextBox 21"/>
        <xdr:cNvSpPr txBox="1"/>
      </xdr:nvSpPr>
      <xdr:spPr>
        <a:xfrm>
          <a:off x="2141158" y="2805641"/>
          <a:ext cx="1743075" cy="251884"/>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3C9F513F-C6D6-45F5-BFAE-C0CA25E05043}" type="TxLink">
            <a:rPr lang="en-US" sz="1400" b="1" i="0" u="none" strike="noStrike">
              <a:solidFill>
                <a:srgbClr val="000000"/>
              </a:solidFill>
              <a:latin typeface="Calibri"/>
              <a:cs typeface="Calibri"/>
            </a:rPr>
            <a:pPr algn="ctr"/>
            <a:t>1,637</a:t>
          </a:fld>
          <a:endParaRPr lang="en-US" sz="1400" b="1">
            <a:solidFill>
              <a:sysClr val="windowText" lastClr="000000"/>
            </a:solidFill>
          </a:endParaRPr>
        </a:p>
      </xdr:txBody>
    </xdr:sp>
    <xdr:clientData/>
  </xdr:twoCellAnchor>
  <xdr:twoCellAnchor>
    <xdr:from>
      <xdr:col>0</xdr:col>
      <xdr:colOff>1312185</xdr:colOff>
      <xdr:row>2</xdr:row>
      <xdr:rowOff>28575</xdr:rowOff>
    </xdr:from>
    <xdr:to>
      <xdr:col>0</xdr:col>
      <xdr:colOff>1735518</xdr:colOff>
      <xdr:row>2</xdr:row>
      <xdr:rowOff>137584</xdr:rowOff>
    </xdr:to>
    <xdr:cxnSp macro="">
      <xdr:nvCxnSpPr>
        <xdr:cNvPr id="28" name="Straight Connector 27"/>
        <xdr:cNvCxnSpPr/>
      </xdr:nvCxnSpPr>
      <xdr:spPr>
        <a:xfrm rot="10800000" flipV="1">
          <a:off x="1312185" y="895350"/>
          <a:ext cx="423333" cy="109009"/>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384024</xdr:colOff>
      <xdr:row>3</xdr:row>
      <xdr:rowOff>122241</xdr:rowOff>
    </xdr:from>
    <xdr:to>
      <xdr:col>2</xdr:col>
      <xdr:colOff>384027</xdr:colOff>
      <xdr:row>4</xdr:row>
      <xdr:rowOff>75674</xdr:rowOff>
    </xdr:to>
    <xdr:cxnSp macro="">
      <xdr:nvCxnSpPr>
        <xdr:cNvPr id="29" name="Straight Connector 28"/>
        <xdr:cNvCxnSpPr/>
      </xdr:nvCxnSpPr>
      <xdr:spPr>
        <a:xfrm rot="16200000" flipH="1">
          <a:off x="2440897" y="1322918"/>
          <a:ext cx="191558" cy="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778786</xdr:colOff>
      <xdr:row>5</xdr:row>
      <xdr:rowOff>161400</xdr:rowOff>
    </xdr:from>
    <xdr:to>
      <xdr:col>5</xdr:col>
      <xdr:colOff>503617</xdr:colOff>
      <xdr:row>5</xdr:row>
      <xdr:rowOff>164572</xdr:rowOff>
    </xdr:to>
    <xdr:cxnSp macro="">
      <xdr:nvCxnSpPr>
        <xdr:cNvPr id="30" name="Straight Arrow Connector 29"/>
        <xdr:cNvCxnSpPr/>
      </xdr:nvCxnSpPr>
      <xdr:spPr>
        <a:xfrm>
          <a:off x="4569736" y="1742550"/>
          <a:ext cx="1391706" cy="3172"/>
        </a:xfrm>
        <a:prstGeom prst="straightConnector1">
          <a:avLst/>
        </a:prstGeom>
        <a:ln w="635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333375</xdr:colOff>
      <xdr:row>6</xdr:row>
      <xdr:rowOff>252412</xdr:rowOff>
    </xdr:from>
    <xdr:to>
      <xdr:col>2</xdr:col>
      <xdr:colOff>336551</xdr:colOff>
      <xdr:row>6</xdr:row>
      <xdr:rowOff>531811</xdr:rowOff>
    </xdr:to>
    <xdr:cxnSp macro="">
      <xdr:nvCxnSpPr>
        <xdr:cNvPr id="31" name="Straight Connector 30"/>
        <xdr:cNvCxnSpPr/>
      </xdr:nvCxnSpPr>
      <xdr:spPr>
        <a:xfrm rot="5400000">
          <a:off x="2347913" y="2209799"/>
          <a:ext cx="279399" cy="31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1114425</xdr:colOff>
      <xdr:row>6</xdr:row>
      <xdr:rowOff>338140</xdr:rowOff>
    </xdr:from>
    <xdr:to>
      <xdr:col>4</xdr:col>
      <xdr:colOff>1311275</xdr:colOff>
      <xdr:row>6</xdr:row>
      <xdr:rowOff>338140</xdr:rowOff>
    </xdr:to>
    <xdr:cxnSp macro="">
      <xdr:nvCxnSpPr>
        <xdr:cNvPr id="32" name="Straight Connector 31"/>
        <xdr:cNvCxnSpPr/>
      </xdr:nvCxnSpPr>
      <xdr:spPr>
        <a:xfrm rot="10800000">
          <a:off x="1114425" y="2157415"/>
          <a:ext cx="3987800" cy="0"/>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6</xdr:row>
      <xdr:rowOff>266700</xdr:rowOff>
    </xdr:from>
    <xdr:to>
      <xdr:col>2</xdr:col>
      <xdr:colOff>355601</xdr:colOff>
      <xdr:row>6</xdr:row>
      <xdr:rowOff>546099</xdr:rowOff>
    </xdr:to>
    <xdr:cxnSp macro="">
      <xdr:nvCxnSpPr>
        <xdr:cNvPr id="33" name="Straight Connector 32"/>
        <xdr:cNvCxnSpPr/>
      </xdr:nvCxnSpPr>
      <xdr:spPr>
        <a:xfrm rot="5400000">
          <a:off x="2366963" y="2224087"/>
          <a:ext cx="279399" cy="31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1304925</xdr:colOff>
      <xdr:row>6</xdr:row>
      <xdr:rowOff>342904</xdr:rowOff>
    </xdr:from>
    <xdr:to>
      <xdr:col>4</xdr:col>
      <xdr:colOff>1304925</xdr:colOff>
      <xdr:row>6</xdr:row>
      <xdr:rowOff>525784</xdr:rowOff>
    </xdr:to>
    <xdr:cxnSp macro="">
      <xdr:nvCxnSpPr>
        <xdr:cNvPr id="34" name="Straight Connector 33"/>
        <xdr:cNvCxnSpPr/>
      </xdr:nvCxnSpPr>
      <xdr:spPr>
        <a:xfrm rot="5400000">
          <a:off x="5004435" y="2253619"/>
          <a:ext cx="182880" cy="0"/>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1123950</xdr:colOff>
      <xdr:row>6</xdr:row>
      <xdr:rowOff>349254</xdr:rowOff>
    </xdr:from>
    <xdr:to>
      <xdr:col>0</xdr:col>
      <xdr:colOff>1123950</xdr:colOff>
      <xdr:row>6</xdr:row>
      <xdr:rowOff>532134</xdr:rowOff>
    </xdr:to>
    <xdr:cxnSp macro="">
      <xdr:nvCxnSpPr>
        <xdr:cNvPr id="35" name="Straight Connector 34"/>
        <xdr:cNvCxnSpPr/>
      </xdr:nvCxnSpPr>
      <xdr:spPr>
        <a:xfrm rot="5400000">
          <a:off x="1032510" y="2259969"/>
          <a:ext cx="182880" cy="0"/>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333377</xdr:colOff>
      <xdr:row>1</xdr:row>
      <xdr:rowOff>50539</xdr:rowOff>
    </xdr:from>
    <xdr:to>
      <xdr:col>11</xdr:col>
      <xdr:colOff>1227299</xdr:colOff>
      <xdr:row>10</xdr:row>
      <xdr:rowOff>281997</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xdr:row>
      <xdr:rowOff>35718</xdr:rowOff>
    </xdr:from>
    <xdr:to>
      <xdr:col>5</xdr:col>
      <xdr:colOff>1452564</xdr:colOff>
      <xdr:row>17</xdr:row>
      <xdr:rowOff>160074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340180</xdr:colOff>
      <xdr:row>10</xdr:row>
      <xdr:rowOff>476250</xdr:rowOff>
    </xdr:from>
    <xdr:to>
      <xdr:col>11</xdr:col>
      <xdr:colOff>1265465</xdr:colOff>
      <xdr:row>18</xdr:row>
      <xdr:rowOff>62933</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355600</xdr:colOff>
      <xdr:row>1</xdr:row>
      <xdr:rowOff>108857</xdr:rowOff>
    </xdr:from>
    <xdr:to>
      <xdr:col>11</xdr:col>
      <xdr:colOff>559707</xdr:colOff>
      <xdr:row>2</xdr:row>
      <xdr:rowOff>54428</xdr:rowOff>
    </xdr:to>
    <xdr:sp macro="" textlink="">
      <xdr:nvSpPr>
        <xdr:cNvPr id="6" name="5-Point Star 5"/>
        <xdr:cNvSpPr/>
      </xdr:nvSpPr>
      <xdr:spPr>
        <a:xfrm>
          <a:off x="12039600" y="616857"/>
          <a:ext cx="204107" cy="174171"/>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0</xdr:col>
      <xdr:colOff>166009</xdr:colOff>
      <xdr:row>24</xdr:row>
      <xdr:rowOff>97973</xdr:rowOff>
    </xdr:from>
    <xdr:to>
      <xdr:col>0</xdr:col>
      <xdr:colOff>370116</xdr:colOff>
      <xdr:row>24</xdr:row>
      <xdr:rowOff>288473</xdr:rowOff>
    </xdr:to>
    <xdr:sp macro="" textlink="">
      <xdr:nvSpPr>
        <xdr:cNvPr id="7" name="5-Point Star 6"/>
        <xdr:cNvSpPr/>
      </xdr:nvSpPr>
      <xdr:spPr>
        <a:xfrm>
          <a:off x="166009" y="10330544"/>
          <a:ext cx="204107" cy="1905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0</xdr:col>
      <xdr:colOff>394612</xdr:colOff>
      <xdr:row>24</xdr:row>
      <xdr:rowOff>40822</xdr:rowOff>
    </xdr:from>
    <xdr:to>
      <xdr:col>6</xdr:col>
      <xdr:colOff>749300</xdr:colOff>
      <xdr:row>25</xdr:row>
      <xdr:rowOff>81643</xdr:rowOff>
    </xdr:to>
    <xdr:sp macro="" textlink="">
      <xdr:nvSpPr>
        <xdr:cNvPr id="8" name="TextBox 7"/>
        <xdr:cNvSpPr txBox="1"/>
      </xdr:nvSpPr>
      <xdr:spPr>
        <a:xfrm>
          <a:off x="394612" y="10048422"/>
          <a:ext cx="6869788" cy="8536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i="1"/>
            <a:t>The</a:t>
          </a:r>
          <a:r>
            <a:rPr lang="en-US" sz="1600" i="1" baseline="0"/>
            <a:t> three common measures cover a rolling four quarter time period. This chart and the area profile data represent the exit quarters for the entered employment measure. Retention and Earnings  measures begin and end two quarters earlier.</a:t>
          </a:r>
        </a:p>
        <a:p>
          <a:endParaRPr lang="en-US" sz="1600" i="1"/>
        </a:p>
      </xdr:txBody>
    </xdr:sp>
    <xdr:clientData/>
  </xdr:twoCellAnchor>
</xdr:wsDr>
</file>

<file path=xl/drawings/drawing3.xml><?xml version="1.0" encoding="utf-8"?>
<c:userShapes xmlns:c="http://schemas.openxmlformats.org/drawingml/2006/chart">
  <cdr:relSizeAnchor xmlns:cdr="http://schemas.openxmlformats.org/drawingml/2006/chartDrawing">
    <cdr:from>
      <cdr:x>0.27724</cdr:x>
      <cdr:y>0.07608</cdr:y>
    </cdr:from>
    <cdr:to>
      <cdr:x>0.69808</cdr:x>
      <cdr:y>0.14769</cdr:y>
    </cdr:to>
    <cdr:grpSp>
      <cdr:nvGrpSpPr>
        <cdr:cNvPr id="2" name="Group 1"/>
        <cdr:cNvGrpSpPr/>
      </cdr:nvGrpSpPr>
      <cdr:grpSpPr>
        <a:xfrm xmlns:a="http://schemas.openxmlformats.org/drawingml/2006/main">
          <a:off x="1828693" y="478076"/>
          <a:ext cx="2775887" cy="449987"/>
          <a:chOff x="0" y="0"/>
          <a:chExt cx="2844800" cy="489017"/>
        </a:xfrm>
      </cdr:grpSpPr>
      <cdr:sp macro="" textlink="">
        <cdr:nvSpPr>
          <cdr:cNvPr id="3" name="TextBox 2"/>
          <cdr:cNvSpPr txBox="1"/>
        </cdr:nvSpPr>
        <cdr:spPr>
          <a:xfrm xmlns:a="http://schemas.openxmlformats.org/drawingml/2006/main">
            <a:off x="0" y="0"/>
            <a:ext cx="2170677" cy="489017"/>
          </a:xfrm>
          <a:prstGeom xmlns:a="http://schemas.openxmlformats.org/drawingml/2006/main" prst="rect">
            <a:avLst/>
          </a:prstGeom>
          <a:gradFill xmlns:a="http://schemas.openxmlformats.org/drawingml/2006/main" rotWithShape="1">
            <a:gsLst>
              <a:gs pos="0">
                <a:sysClr val="windowText" lastClr="000000">
                  <a:tint val="50000"/>
                  <a:satMod val="300000"/>
                </a:sysClr>
              </a:gs>
              <a:gs pos="35000">
                <a:sysClr val="windowText" lastClr="000000">
                  <a:tint val="37000"/>
                  <a:satMod val="300000"/>
                </a:sysClr>
              </a:gs>
              <a:gs pos="100000">
                <a:sysClr val="windowText" lastClr="000000">
                  <a:tint val="15000"/>
                  <a:satMod val="350000"/>
                </a:sysClr>
              </a:gs>
            </a:gsLst>
            <a:lin ang="16200000" scaled="1"/>
          </a:gradFill>
          <a:ln xmlns:a="http://schemas.openxmlformats.org/drawingml/2006/main" w="9525" cap="flat" cmpd="sng" algn="ctr">
            <a:solidFill>
              <a:sysClr val="windowText" lastClr="000000">
                <a:shade val="95000"/>
                <a:satMod val="105000"/>
              </a:sysClr>
            </a:solidFill>
            <a:prstDash val="solid"/>
          </a:ln>
          <a:effectLst xmlns:a="http://schemas.openxmlformats.org/drawingml/2006/main">
            <a:outerShdw blurRad="40000" dist="20000" dir="5400000" rotWithShape="0">
              <a:srgbClr val="000000">
                <a:alpha val="38000"/>
              </a:srgbClr>
            </a:outerShdw>
          </a:effectLst>
        </cdr:spPr>
        <cdr:style>
          <a:lnRef xmlns:a="http://schemas.openxmlformats.org/drawingml/2006/main" idx="1">
            <a:schemeClr val="dk1"/>
          </a:lnRef>
          <a:fillRef xmlns:a="http://schemas.openxmlformats.org/drawingml/2006/main" idx="2">
            <a:schemeClr val="dk1"/>
          </a:fillRef>
          <a:effectRef xmlns:a="http://schemas.openxmlformats.org/drawingml/2006/main" idx="1">
            <a:schemeClr val="dk1"/>
          </a:effectRef>
          <a:fontRef xmlns:a="http://schemas.openxmlformats.org/drawingml/2006/main" idx="minor">
            <a:schemeClr val="dk1"/>
          </a:fontRef>
        </cdr:style>
        <cdr:txBody>
          <a:bodyPr xmlns:a="http://schemas.openxmlformats.org/drawingml/2006/main" wrap="square" rtlCol="0"/>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lang="en-US" sz="2800"/>
              <a:t>Target % / $</a:t>
            </a:r>
          </a:p>
        </cdr:txBody>
      </cdr:sp>
      <cdr:sp macro="" textlink="">
        <cdr:nvSpPr>
          <cdr:cNvPr id="4" name="Straight Connector 3"/>
          <cdr:cNvSpPr/>
        </cdr:nvSpPr>
        <cdr:spPr>
          <a:xfrm xmlns:a="http://schemas.openxmlformats.org/drawingml/2006/main">
            <a:off x="2235200" y="330200"/>
            <a:ext cx="609600" cy="0"/>
          </a:xfrm>
          <a:prstGeom xmlns:a="http://schemas.openxmlformats.org/drawingml/2006/main" prst="line">
            <a:avLst/>
          </a:prstGeom>
          <a:noFill xmlns:a="http://schemas.openxmlformats.org/drawingml/2006/main"/>
          <a:ln xmlns:a="http://schemas.openxmlformats.org/drawingml/2006/main" w="76200" cap="flat" cmpd="sng" algn="ctr">
            <a:solidFill>
              <a:sysClr val="windowText" lastClr="000000">
                <a:lumMod val="75000"/>
                <a:lumOff val="25000"/>
              </a:sysClr>
            </a:solidFill>
            <a:prstDash val="solid"/>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endParaRPr lang="en-US"/>
          </a:p>
        </cdr:txBody>
      </cdr:sp>
    </cdr:grp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248151</xdr:colOff>
      <xdr:row>0</xdr:row>
      <xdr:rowOff>19050</xdr:rowOff>
    </xdr:from>
    <xdr:to>
      <xdr:col>0</xdr:col>
      <xdr:colOff>1710690</xdr:colOff>
      <xdr:row>0</xdr:row>
      <xdr:rowOff>381000</xdr:rowOff>
    </xdr:to>
    <xdr:pic>
      <xdr:nvPicPr>
        <xdr:cNvPr id="10" name="Picture 9" descr="http://www.wa.gov/esd/marketing/images/logos/jpeg/worksource_logo-2-color.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8151" y="19050"/>
          <a:ext cx="1462539"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376039</xdr:colOff>
      <xdr:row>0</xdr:row>
      <xdr:rowOff>452870</xdr:rowOff>
    </xdr:from>
    <xdr:to>
      <xdr:col>12</xdr:col>
      <xdr:colOff>14090</xdr:colOff>
      <xdr:row>10</xdr:row>
      <xdr:rowOff>205100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30542</xdr:colOff>
      <xdr:row>10</xdr:row>
      <xdr:rowOff>221191</xdr:rowOff>
    </xdr:from>
    <xdr:to>
      <xdr:col>4</xdr:col>
      <xdr:colOff>439059</xdr:colOff>
      <xdr:row>18</xdr:row>
      <xdr:rowOff>521758</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434183</xdr:colOff>
      <xdr:row>10</xdr:row>
      <xdr:rowOff>218578</xdr:rowOff>
    </xdr:from>
    <xdr:to>
      <xdr:col>8</xdr:col>
      <xdr:colOff>514616</xdr:colOff>
      <xdr:row>18</xdr:row>
      <xdr:rowOff>519145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466725</xdr:colOff>
      <xdr:row>10</xdr:row>
      <xdr:rowOff>220740</xdr:rowOff>
    </xdr:from>
    <xdr:to>
      <xdr:col>11</xdr:col>
      <xdr:colOff>540326</xdr:colOff>
      <xdr:row>18</xdr:row>
      <xdr:rowOff>521307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781961</xdr:colOff>
      <xdr:row>5</xdr:row>
      <xdr:rowOff>175687</xdr:rowOff>
    </xdr:from>
    <xdr:to>
      <xdr:col>5</xdr:col>
      <xdr:colOff>506792</xdr:colOff>
      <xdr:row>5</xdr:row>
      <xdr:rowOff>178859</xdr:rowOff>
    </xdr:to>
    <xdr:cxnSp macro="">
      <xdr:nvCxnSpPr>
        <xdr:cNvPr id="33" name="Straight Arrow Connector 32"/>
        <xdr:cNvCxnSpPr/>
      </xdr:nvCxnSpPr>
      <xdr:spPr>
        <a:xfrm>
          <a:off x="4572911" y="1756837"/>
          <a:ext cx="1382181" cy="3172"/>
        </a:xfrm>
        <a:prstGeom prst="straightConnector1">
          <a:avLst/>
        </a:prstGeom>
        <a:ln w="635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168126</xdr:colOff>
      <xdr:row>1</xdr:row>
      <xdr:rowOff>95250</xdr:rowOff>
    </xdr:from>
    <xdr:to>
      <xdr:col>6</xdr:col>
      <xdr:colOff>266699</xdr:colOff>
      <xdr:row>10</xdr:row>
      <xdr:rowOff>130175</xdr:rowOff>
    </xdr:to>
    <xdr:grpSp>
      <xdr:nvGrpSpPr>
        <xdr:cNvPr id="43" name="Group 42"/>
        <xdr:cNvGrpSpPr/>
      </xdr:nvGrpSpPr>
      <xdr:grpSpPr>
        <a:xfrm>
          <a:off x="168126" y="550333"/>
          <a:ext cx="6088740" cy="2723092"/>
          <a:chOff x="168126" y="554182"/>
          <a:chExt cx="6116641" cy="2719243"/>
        </a:xfrm>
      </xdr:grpSpPr>
      <xdr:cxnSp macro="">
        <xdr:nvCxnSpPr>
          <xdr:cNvPr id="21" name="Straight Connector 20"/>
          <xdr:cNvCxnSpPr/>
        </xdr:nvCxnSpPr>
        <xdr:spPr>
          <a:xfrm rot="10800000" flipV="1">
            <a:off x="1367716" y="914102"/>
            <a:ext cx="425009" cy="110263"/>
          </a:xfrm>
          <a:prstGeom prst="line">
            <a:avLst/>
          </a:prstGeom>
          <a:ln w="28575"/>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xdr:cNvCxnSpPr>
            <a:endCxn id="23" idx="0"/>
          </xdr:cNvCxnSpPr>
        </xdr:nvCxnSpPr>
        <xdr:spPr>
          <a:xfrm rot="16200000" flipH="1">
            <a:off x="2420941" y="1346589"/>
            <a:ext cx="193762" cy="3"/>
          </a:xfrm>
          <a:prstGeom prst="line">
            <a:avLst/>
          </a:prstGeom>
          <a:ln w="28575"/>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xdr:cNvCxnSpPr/>
        </xdr:nvCxnSpPr>
        <xdr:spPr>
          <a:xfrm rot="5400000">
            <a:off x="1009742" y="2279967"/>
            <a:ext cx="184984" cy="0"/>
          </a:xfrm>
          <a:prstGeom prst="line">
            <a:avLst/>
          </a:prstGeom>
          <a:ln w="28575"/>
        </xdr:spPr>
        <xdr:style>
          <a:lnRef idx="1">
            <a:schemeClr val="accent1"/>
          </a:lnRef>
          <a:fillRef idx="0">
            <a:schemeClr val="accent1"/>
          </a:fillRef>
          <a:effectRef idx="0">
            <a:schemeClr val="accent1"/>
          </a:effectRef>
          <a:fontRef idx="minor">
            <a:schemeClr val="tx1"/>
          </a:fontRef>
        </xdr:style>
      </xdr:cxnSp>
      <xdr:grpSp>
        <xdr:nvGrpSpPr>
          <xdr:cNvPr id="35" name="Group 34"/>
          <xdr:cNvGrpSpPr/>
        </xdr:nvGrpSpPr>
        <xdr:grpSpPr>
          <a:xfrm>
            <a:off x="168126" y="554182"/>
            <a:ext cx="6116641" cy="2719243"/>
            <a:chOff x="168126" y="551089"/>
            <a:chExt cx="6092519" cy="2688318"/>
          </a:xfrm>
        </xdr:grpSpPr>
        <xdr:grpSp>
          <xdr:nvGrpSpPr>
            <xdr:cNvPr id="13" name="Group 12"/>
            <xdr:cNvGrpSpPr/>
          </xdr:nvGrpSpPr>
          <xdr:grpSpPr>
            <a:xfrm>
              <a:off x="1786317" y="551089"/>
              <a:ext cx="3582761" cy="713015"/>
              <a:chOff x="866775" y="542925"/>
              <a:chExt cx="2209800" cy="809625"/>
            </a:xfrm>
            <a:noFill/>
            <a:scene3d>
              <a:camera prst="orthographicFront">
                <a:rot lat="0" lon="0" rev="0"/>
              </a:camera>
              <a:lightRig rig="soft" dir="t">
                <a:rot lat="0" lon="0" rev="0"/>
              </a:lightRig>
            </a:scene3d>
          </xdr:grpSpPr>
          <xdr:sp macro="" textlink="">
            <xdr:nvSpPr>
              <xdr:cNvPr id="11" name="Rectangle 10"/>
              <xdr:cNvSpPr/>
            </xdr:nvSpPr>
            <xdr:spPr>
              <a:xfrm>
                <a:off x="866775" y="542925"/>
                <a:ext cx="2209800" cy="80962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800" b="1">
                    <a:solidFill>
                      <a:sysClr val="windowText" lastClr="000000"/>
                    </a:solidFill>
                  </a:rPr>
                  <a:t>All</a:t>
                </a:r>
                <a:r>
                  <a:rPr lang="en-US" sz="1800" b="1" baseline="0">
                    <a:solidFill>
                      <a:sysClr val="windowText" lastClr="000000"/>
                    </a:solidFill>
                  </a:rPr>
                  <a:t> Customers</a:t>
                </a:r>
                <a:endParaRPr lang="en-US" sz="1800" b="1">
                  <a:solidFill>
                    <a:sysClr val="windowText" lastClr="000000"/>
                  </a:solidFill>
                </a:endParaRPr>
              </a:p>
            </xdr:txBody>
          </xdr:sp>
          <xdr:sp macro="" textlink="'State Data'!C4">
            <xdr:nvSpPr>
              <xdr:cNvPr id="12" name="TextBox 11"/>
              <xdr:cNvSpPr txBox="1"/>
            </xdr:nvSpPr>
            <xdr:spPr>
              <a:xfrm>
                <a:off x="1619251" y="933451"/>
                <a:ext cx="781049" cy="285749"/>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wrap="square" rtlCol="0" anchor="ctr"/>
              <a:lstStyle/>
              <a:p>
                <a:pPr algn="ctr"/>
                <a:fld id="{48D843C9-2598-4BA4-A1C9-C6463C363833}" type="TxLink">
                  <a:rPr lang="en-US" sz="1200" b="1" i="0" u="none" strike="noStrike">
                    <a:solidFill>
                      <a:srgbClr val="000000"/>
                    </a:solidFill>
                    <a:latin typeface="Calibri"/>
                    <a:cs typeface="Calibri"/>
                  </a:rPr>
                  <a:pPr algn="ctr"/>
                  <a:t>178,793</a:t>
                </a:fld>
                <a:endParaRPr lang="en-US" sz="1100" b="1">
                  <a:solidFill>
                    <a:sysClr val="windowText" lastClr="000000"/>
                  </a:solidFill>
                </a:endParaRPr>
              </a:p>
            </xdr:txBody>
          </xdr:sp>
        </xdr:grpSp>
        <xdr:grpSp>
          <xdr:nvGrpSpPr>
            <xdr:cNvPr id="19" name="Group 18"/>
            <xdr:cNvGrpSpPr/>
          </xdr:nvGrpSpPr>
          <xdr:grpSpPr>
            <a:xfrm>
              <a:off x="168126" y="610357"/>
              <a:ext cx="1194858" cy="812497"/>
              <a:chOff x="3334038" y="421828"/>
              <a:chExt cx="1371599" cy="942975"/>
            </a:xfrm>
            <a:noFill/>
            <a:effectLst>
              <a:outerShdw blurRad="50800" dist="38100" dir="2700000" algn="tl" rotWithShape="0">
                <a:prstClr val="black">
                  <a:alpha val="40000"/>
                </a:prstClr>
              </a:outerShdw>
            </a:effectLst>
            <a:scene3d>
              <a:camera prst="orthographicFront">
                <a:rot lat="0" lon="0" rev="0"/>
              </a:camera>
              <a:lightRig rig="contrasting" dir="t">
                <a:rot lat="0" lon="0" rev="1500000"/>
              </a:lightRig>
            </a:scene3d>
          </xdr:grpSpPr>
          <xdr:sp macro="" textlink="">
            <xdr:nvSpPr>
              <xdr:cNvPr id="17" name="Rectangle 16"/>
              <xdr:cNvSpPr/>
            </xdr:nvSpPr>
            <xdr:spPr>
              <a:xfrm>
                <a:off x="3334038" y="421828"/>
                <a:ext cx="1371599" cy="9429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400" b="1">
                    <a:solidFill>
                      <a:sysClr val="windowText" lastClr="000000"/>
                    </a:solidFill>
                  </a:rPr>
                  <a:t>Self-Service Only</a:t>
                </a:r>
              </a:p>
            </xdr:txBody>
          </xdr:sp>
          <xdr:sp macro="" textlink="'State Data'!C6">
            <xdr:nvSpPr>
              <xdr:cNvPr id="18" name="TextBox 17"/>
              <xdr:cNvSpPr txBox="1"/>
            </xdr:nvSpPr>
            <xdr:spPr>
              <a:xfrm>
                <a:off x="3582838" y="955485"/>
                <a:ext cx="876300" cy="349704"/>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wrap="square" rtlCol="0" anchor="ctr"/>
              <a:lstStyle/>
              <a:p>
                <a:pPr algn="ctr"/>
                <a:fld id="{B98F3F1A-4168-4F55-B12B-35B388E331D3}" type="TxLink">
                  <a:rPr lang="en-US" sz="1200" b="1" i="0" u="none" strike="noStrike">
                    <a:solidFill>
                      <a:srgbClr val="000000"/>
                    </a:solidFill>
                    <a:latin typeface="Calibri"/>
                    <a:cs typeface="Calibri"/>
                  </a:rPr>
                  <a:pPr algn="ctr"/>
                  <a:t>77,661</a:t>
                </a:fld>
                <a:endParaRPr lang="en-US" sz="1100" b="1">
                  <a:solidFill>
                    <a:sysClr val="windowText" lastClr="000000"/>
                  </a:solidFill>
                </a:endParaRPr>
              </a:p>
            </xdr:txBody>
          </xdr:sp>
        </xdr:grpSp>
        <xdr:grpSp>
          <xdr:nvGrpSpPr>
            <xdr:cNvPr id="22" name="Group 21"/>
            <xdr:cNvGrpSpPr/>
          </xdr:nvGrpSpPr>
          <xdr:grpSpPr>
            <a:xfrm>
              <a:off x="1702711" y="1430265"/>
              <a:ext cx="2862036" cy="647700"/>
              <a:chOff x="751249" y="542925"/>
              <a:chExt cx="2209800" cy="809625"/>
            </a:xfrm>
            <a:noFill/>
            <a:scene3d>
              <a:camera prst="orthographicFront">
                <a:rot lat="0" lon="0" rev="0"/>
              </a:camera>
              <a:lightRig rig="soft" dir="t">
                <a:rot lat="0" lon="0" rev="0"/>
              </a:lightRig>
            </a:scene3d>
          </xdr:grpSpPr>
          <xdr:sp macro="" textlink="">
            <xdr:nvSpPr>
              <xdr:cNvPr id="23" name="Rectangle 22"/>
              <xdr:cNvSpPr/>
            </xdr:nvSpPr>
            <xdr:spPr>
              <a:xfrm>
                <a:off x="751249" y="542925"/>
                <a:ext cx="2209800" cy="80962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400" b="1" baseline="0">
                    <a:solidFill>
                      <a:sysClr val="windowText" lastClr="000000"/>
                    </a:solidFill>
                  </a:rPr>
                  <a:t>Staff-Assisted  Customers</a:t>
                </a:r>
                <a:endParaRPr lang="en-US" sz="1400" b="1">
                  <a:solidFill>
                    <a:sysClr val="windowText" lastClr="000000"/>
                  </a:solidFill>
                </a:endParaRPr>
              </a:p>
            </xdr:txBody>
          </xdr:sp>
          <xdr:sp macro="" textlink="'State Data'!C5">
            <xdr:nvSpPr>
              <xdr:cNvPr id="24" name="TextBox 23"/>
              <xdr:cNvSpPr txBox="1"/>
            </xdr:nvSpPr>
            <xdr:spPr>
              <a:xfrm>
                <a:off x="1253379" y="964195"/>
                <a:ext cx="1256822" cy="285749"/>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wrap="square" rtlCol="0" anchor="ctr"/>
              <a:lstStyle/>
              <a:p>
                <a:pPr algn="ctr"/>
                <a:fld id="{D40E9D23-C018-4876-B1B4-C654AA7DF6CB}" type="TxLink">
                  <a:rPr lang="en-US" sz="1200" b="1" i="0" u="none" strike="noStrike">
                    <a:solidFill>
                      <a:srgbClr val="000000"/>
                    </a:solidFill>
                    <a:latin typeface="Calibri"/>
                    <a:cs typeface="Calibri"/>
                  </a:rPr>
                  <a:pPr algn="ctr"/>
                  <a:t>101,132</a:t>
                </a:fld>
                <a:endParaRPr lang="en-US" sz="1100" b="1">
                  <a:solidFill>
                    <a:sysClr val="windowText" lastClr="000000"/>
                  </a:solidFill>
                </a:endParaRPr>
              </a:p>
            </xdr:txBody>
          </xdr:sp>
        </xdr:grpSp>
        <xdr:sp macro="" textlink="">
          <xdr:nvSpPr>
            <xdr:cNvPr id="37" name="Rectangle 36"/>
            <xdr:cNvSpPr/>
          </xdr:nvSpPr>
          <xdr:spPr>
            <a:xfrm>
              <a:off x="430593" y="2353127"/>
              <a:ext cx="1435100" cy="86723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200" b="1" baseline="0">
                  <a:solidFill>
                    <a:sysClr val="windowText" lastClr="000000"/>
                  </a:solidFill>
                </a:rPr>
                <a:t>Core Only </a:t>
              </a:r>
              <a:endParaRPr lang="en-US" sz="1200" b="1">
                <a:solidFill>
                  <a:sysClr val="windowText" lastClr="000000"/>
                </a:solidFill>
              </a:endParaRPr>
            </a:p>
          </xdr:txBody>
        </xdr:sp>
        <xdr:sp macro="" textlink="'State Data'!C12">
          <xdr:nvSpPr>
            <xdr:cNvPr id="38" name="TextBox 37"/>
            <xdr:cNvSpPr txBox="1"/>
          </xdr:nvSpPr>
          <xdr:spPr>
            <a:xfrm>
              <a:off x="716343" y="2813955"/>
              <a:ext cx="914400" cy="257174"/>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28455471-81CD-4775-9FC6-F8CB8E6CA167}" type="TxLink">
                <a:rPr lang="en-US" sz="1200" b="1" i="0" u="none" strike="noStrike">
                  <a:solidFill>
                    <a:srgbClr val="000000"/>
                  </a:solidFill>
                  <a:latin typeface="Calibri"/>
                  <a:cs typeface="Calibri"/>
                </a:rPr>
                <a:pPr algn="ctr"/>
                <a:t>88,089</a:t>
              </a:fld>
              <a:endParaRPr lang="en-US" sz="1300" b="1">
                <a:solidFill>
                  <a:sysClr val="windowText" lastClr="000000"/>
                </a:solidFill>
              </a:endParaRPr>
            </a:p>
          </xdr:txBody>
        </xdr:sp>
        <xdr:sp macro="" textlink="">
          <xdr:nvSpPr>
            <xdr:cNvPr id="41" name="Rectangle 40"/>
            <xdr:cNvSpPr/>
          </xdr:nvSpPr>
          <xdr:spPr>
            <a:xfrm>
              <a:off x="4257827" y="2367943"/>
              <a:ext cx="2002818" cy="87146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l"/>
              <a:r>
                <a:rPr lang="en-US" sz="1200" b="1" baseline="0">
                  <a:solidFill>
                    <a:sysClr val="windowText" lastClr="000000"/>
                  </a:solidFill>
                </a:rPr>
                <a:t>          Training</a:t>
              </a:r>
            </a:p>
            <a:p>
              <a:pPr algn="l"/>
              <a:r>
                <a:rPr lang="en-US" sz="1200" b="1" baseline="0">
                  <a:solidFill>
                    <a:sysClr val="windowText" lastClr="000000"/>
                  </a:solidFill>
                </a:rPr>
                <a:t>               New:</a:t>
              </a:r>
            </a:p>
            <a:p>
              <a:pPr algn="l"/>
              <a:r>
                <a:rPr lang="en-US" sz="1200" b="1" baseline="0">
                  <a:solidFill>
                    <a:sysClr val="windowText" lastClr="000000"/>
                  </a:solidFill>
                </a:rPr>
                <a:t>        Ongoing:</a:t>
              </a:r>
            </a:p>
            <a:p>
              <a:pPr algn="l"/>
              <a:r>
                <a:rPr lang="en-US" sz="1200" b="1" baseline="0">
                  <a:solidFill>
                    <a:sysClr val="windowText" lastClr="000000"/>
                  </a:solidFill>
                </a:rPr>
                <a:t>      Complete:</a:t>
              </a:r>
            </a:p>
            <a:p>
              <a:pPr algn="ctr"/>
              <a:endParaRPr lang="en-US" sz="1200" b="1">
                <a:solidFill>
                  <a:sysClr val="windowText" lastClr="000000"/>
                </a:solidFill>
              </a:endParaRPr>
            </a:p>
          </xdr:txBody>
        </xdr:sp>
        <xdr:sp macro="" textlink="'State Data'!C15">
          <xdr:nvSpPr>
            <xdr:cNvPr id="42" name="TextBox 41"/>
            <xdr:cNvSpPr txBox="1"/>
          </xdr:nvSpPr>
          <xdr:spPr>
            <a:xfrm>
              <a:off x="5346854" y="2763158"/>
              <a:ext cx="789967" cy="222249"/>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2E0B5390-0D93-43C5-8F78-3D1F88345809}" type="TxLink">
                <a:rPr lang="en-US" sz="1200" b="1" i="0" u="none" strike="noStrike">
                  <a:solidFill>
                    <a:srgbClr val="000000"/>
                  </a:solidFill>
                  <a:latin typeface="Calibri"/>
                  <a:cs typeface="Calibri"/>
                </a:rPr>
                <a:pPr algn="ctr"/>
                <a:t>8,302</a:t>
              </a:fld>
              <a:endParaRPr lang="en-US" sz="1300" b="1">
                <a:solidFill>
                  <a:sysClr val="windowText" lastClr="000000"/>
                </a:solidFill>
              </a:endParaRPr>
            </a:p>
          </xdr:txBody>
        </xdr:sp>
        <xdr:sp macro="" textlink="">
          <xdr:nvSpPr>
            <xdr:cNvPr id="39" name="Rectangle 38"/>
            <xdr:cNvSpPr/>
          </xdr:nvSpPr>
          <xdr:spPr>
            <a:xfrm>
              <a:off x="2078417" y="2362652"/>
              <a:ext cx="1963511" cy="87675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200" b="1" baseline="0">
                  <a:solidFill>
                    <a:sysClr val="windowText" lastClr="000000"/>
                  </a:solidFill>
                </a:rPr>
                <a:t>Core/Intensive Only</a:t>
              </a:r>
              <a:endParaRPr lang="en-US" sz="1200" b="1">
                <a:solidFill>
                  <a:sysClr val="windowText" lastClr="000000"/>
                </a:solidFill>
              </a:endParaRPr>
            </a:p>
          </xdr:txBody>
        </xdr:sp>
        <xdr:sp macro="" textlink="'State Data'!C14">
          <xdr:nvSpPr>
            <xdr:cNvPr id="68" name="TextBox 67"/>
            <xdr:cNvSpPr txBox="1"/>
          </xdr:nvSpPr>
          <xdr:spPr>
            <a:xfrm>
              <a:off x="5368020" y="2580672"/>
              <a:ext cx="740226" cy="195185"/>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F66AFEEE-A0F4-4521-8899-3190FBA9DA5D}" type="TxLink">
                <a:rPr lang="en-US" sz="1200" b="1" i="0" u="none" strike="noStrike">
                  <a:solidFill>
                    <a:srgbClr val="000000"/>
                  </a:solidFill>
                  <a:latin typeface="Calibri"/>
                  <a:cs typeface="Calibri"/>
                </a:rPr>
                <a:pPr algn="ctr"/>
                <a:t>2,788</a:t>
              </a:fld>
              <a:endParaRPr lang="en-US" sz="1300" b="1">
                <a:solidFill>
                  <a:sysClr val="windowText" lastClr="000000"/>
                </a:solidFill>
              </a:endParaRPr>
            </a:p>
          </xdr:txBody>
        </xdr:sp>
        <xdr:sp macro="" textlink="'State Data'!C16">
          <xdr:nvSpPr>
            <xdr:cNvPr id="34" name="TextBox 33"/>
            <xdr:cNvSpPr txBox="1"/>
          </xdr:nvSpPr>
          <xdr:spPr>
            <a:xfrm>
              <a:off x="5264304" y="2973766"/>
              <a:ext cx="901092" cy="211666"/>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140AD1E7-980C-4674-B379-13A3BC74F818}" type="TxLink">
                <a:rPr lang="en-US" sz="1200" b="1" i="0" u="none" strike="noStrike">
                  <a:solidFill>
                    <a:srgbClr val="000000"/>
                  </a:solidFill>
                  <a:latin typeface="Calibri"/>
                  <a:cs typeface="Calibri"/>
                </a:rPr>
                <a:pPr algn="ctr"/>
                <a:t>3,806</a:t>
              </a:fld>
              <a:endParaRPr lang="en-US" sz="1300" b="1">
                <a:solidFill>
                  <a:sysClr val="windowText" lastClr="000000"/>
                </a:solidFill>
              </a:endParaRPr>
            </a:p>
          </xdr:txBody>
        </xdr:sp>
        <xdr:sp macro="" textlink="'State Data'!C13">
          <xdr:nvSpPr>
            <xdr:cNvPr id="40" name="TextBox 39"/>
            <xdr:cNvSpPr txBox="1"/>
          </xdr:nvSpPr>
          <xdr:spPr>
            <a:xfrm>
              <a:off x="2168979" y="2809723"/>
              <a:ext cx="1737632" cy="251884"/>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A10D5E0D-CBC3-4B0D-B45E-CBEB007849C5}" type="TxLink">
                <a:rPr lang="en-US" sz="1200" b="1" i="0" u="none" strike="noStrike">
                  <a:solidFill>
                    <a:srgbClr val="000000"/>
                  </a:solidFill>
                  <a:latin typeface="Calibri"/>
                  <a:cs typeface="Calibri"/>
                </a:rPr>
                <a:pPr algn="ctr"/>
                <a:t>10,255</a:t>
              </a:fld>
              <a:endParaRPr lang="en-US" sz="1300" b="1">
                <a:solidFill>
                  <a:sysClr val="windowText" lastClr="000000"/>
                </a:solidFill>
              </a:endParaRPr>
            </a:p>
          </xdr:txBody>
        </xdr:sp>
        <xdr:cxnSp macro="">
          <xdr:nvCxnSpPr>
            <xdr:cNvPr id="32" name="Straight Connector 31"/>
            <xdr:cNvCxnSpPr/>
          </xdr:nvCxnSpPr>
          <xdr:spPr>
            <a:xfrm rot="5400000">
              <a:off x="2319792" y="2221365"/>
              <a:ext cx="279399" cy="3176"/>
            </a:xfrm>
            <a:prstGeom prst="line">
              <a:avLst/>
            </a:prstGeom>
            <a:ln w="28575"/>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rot="5400000">
              <a:off x="4961346" y="2269947"/>
              <a:ext cx="182880" cy="0"/>
            </a:xfrm>
            <a:prstGeom prst="line">
              <a:avLst/>
            </a:prstGeom>
            <a:ln w="28575"/>
          </xdr:spPr>
          <xdr:style>
            <a:lnRef idx="1">
              <a:schemeClr val="accent1"/>
            </a:lnRef>
            <a:fillRef idx="0">
              <a:schemeClr val="accent1"/>
            </a:fillRef>
            <a:effectRef idx="0">
              <a:schemeClr val="accent1"/>
            </a:effectRef>
            <a:fontRef idx="minor">
              <a:schemeClr val="tx1"/>
            </a:fontRef>
          </xdr:style>
        </xdr:cxnSp>
        <xdr:cxnSp macro="">
          <xdr:nvCxnSpPr>
            <xdr:cNvPr id="47" name="Straight Connector 46"/>
            <xdr:cNvCxnSpPr/>
          </xdr:nvCxnSpPr>
          <xdr:spPr>
            <a:xfrm rot="10800000">
              <a:off x="1089025" y="2168981"/>
              <a:ext cx="3979636" cy="0"/>
            </a:xfrm>
            <a:prstGeom prst="line">
              <a:avLst/>
            </a:prstGeom>
            <a:ln w="28575"/>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357188</xdr:colOff>
      <xdr:row>1</xdr:row>
      <xdr:rowOff>140496</xdr:rowOff>
    </xdr:from>
    <xdr:to>
      <xdr:col>11</xdr:col>
      <xdr:colOff>1251110</xdr:colOff>
      <xdr:row>10</xdr:row>
      <xdr:rowOff>371954</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381000</xdr:colOff>
      <xdr:row>0</xdr:row>
      <xdr:rowOff>42334</xdr:rowOff>
    </xdr:from>
    <xdr:to>
      <xdr:col>1</xdr:col>
      <xdr:colOff>910409</xdr:colOff>
      <xdr:row>0</xdr:row>
      <xdr:rowOff>493168</xdr:rowOff>
    </xdr:to>
    <xdr:pic>
      <xdr:nvPicPr>
        <xdr:cNvPr id="11" name="Picture 10" descr="http://www.wa.gov/esd/marketing/images/logos/jpeg/worksource_logo-2-color.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0" y="42334"/>
          <a:ext cx="1587742" cy="4508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23811</xdr:colOff>
      <xdr:row>1</xdr:row>
      <xdr:rowOff>125675</xdr:rowOff>
    </xdr:from>
    <xdr:to>
      <xdr:col>5</xdr:col>
      <xdr:colOff>1578429</xdr:colOff>
      <xdr:row>18</xdr:row>
      <xdr:rowOff>122464</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312964</xdr:colOff>
      <xdr:row>10</xdr:row>
      <xdr:rowOff>489857</xdr:rowOff>
    </xdr:from>
    <xdr:to>
      <xdr:col>11</xdr:col>
      <xdr:colOff>1279073</xdr:colOff>
      <xdr:row>18</xdr:row>
      <xdr:rowOff>119063</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296639</xdr:colOff>
      <xdr:row>1</xdr:row>
      <xdr:rowOff>190499</xdr:rowOff>
    </xdr:from>
    <xdr:to>
      <xdr:col>11</xdr:col>
      <xdr:colOff>500746</xdr:colOff>
      <xdr:row>2</xdr:row>
      <xdr:rowOff>136070</xdr:rowOff>
    </xdr:to>
    <xdr:sp macro="" textlink="">
      <xdr:nvSpPr>
        <xdr:cNvPr id="6" name="5-Point Star 5"/>
        <xdr:cNvSpPr/>
      </xdr:nvSpPr>
      <xdr:spPr>
        <a:xfrm>
          <a:off x="12801603" y="693963"/>
          <a:ext cx="204107" cy="1905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0</xdr:col>
      <xdr:colOff>367394</xdr:colOff>
      <xdr:row>24</xdr:row>
      <xdr:rowOff>57149</xdr:rowOff>
    </xdr:from>
    <xdr:to>
      <xdr:col>0</xdr:col>
      <xdr:colOff>571501</xdr:colOff>
      <xdr:row>24</xdr:row>
      <xdr:rowOff>247649</xdr:rowOff>
    </xdr:to>
    <xdr:sp macro="" textlink="">
      <xdr:nvSpPr>
        <xdr:cNvPr id="8" name="5-Point Star 7"/>
        <xdr:cNvSpPr/>
      </xdr:nvSpPr>
      <xdr:spPr>
        <a:xfrm>
          <a:off x="367394" y="10017578"/>
          <a:ext cx="204107" cy="1905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0</xdr:col>
      <xdr:colOff>721178</xdr:colOff>
      <xdr:row>23</xdr:row>
      <xdr:rowOff>530678</xdr:rowOff>
    </xdr:from>
    <xdr:to>
      <xdr:col>6</xdr:col>
      <xdr:colOff>557887</xdr:colOff>
      <xdr:row>25</xdr:row>
      <xdr:rowOff>258535</xdr:rowOff>
    </xdr:to>
    <xdr:sp macro="" textlink="">
      <xdr:nvSpPr>
        <xdr:cNvPr id="13" name="TextBox 12"/>
        <xdr:cNvSpPr txBox="1"/>
      </xdr:nvSpPr>
      <xdr:spPr>
        <a:xfrm>
          <a:off x="721178" y="9946821"/>
          <a:ext cx="6939638" cy="857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i="1"/>
            <a:t>The</a:t>
          </a:r>
          <a:r>
            <a:rPr lang="en-US" sz="1400" i="1" baseline="0"/>
            <a:t> three common measures cover a rolling four quarter time period. This chart and the area profile data represent the exit quarters for the entered employment measure. Retention and Earnings  measures begin and end two quarters earlier.</a:t>
          </a:r>
        </a:p>
        <a:p>
          <a:endParaRPr lang="en-US" sz="1600" i="1"/>
        </a:p>
      </xdr:txBody>
    </xdr:sp>
    <xdr:clientData/>
  </xdr:twoCellAnchor>
</xdr:wsDr>
</file>

<file path=xl/drawings/drawing6.xml><?xml version="1.0" encoding="utf-8"?>
<c:userShapes xmlns:c="http://schemas.openxmlformats.org/drawingml/2006/chart">
  <cdr:relSizeAnchor xmlns:cdr="http://schemas.openxmlformats.org/drawingml/2006/chartDrawing">
    <cdr:from>
      <cdr:x>0.28681</cdr:x>
      <cdr:y>0.08677</cdr:y>
    </cdr:from>
    <cdr:to>
      <cdr:x>0.67707</cdr:x>
      <cdr:y>0.15723</cdr:y>
    </cdr:to>
    <cdr:grpSp>
      <cdr:nvGrpSpPr>
        <cdr:cNvPr id="5" name="Group 4"/>
        <cdr:cNvGrpSpPr/>
      </cdr:nvGrpSpPr>
      <cdr:grpSpPr>
        <a:xfrm xmlns:a="http://schemas.openxmlformats.org/drawingml/2006/main">
          <a:off x="2003043" y="554843"/>
          <a:ext cx="2725525" cy="450551"/>
          <a:chOff x="1208090" y="661725"/>
          <a:chExt cx="2844799" cy="464705"/>
        </a:xfrm>
      </cdr:grpSpPr>
      <cdr:sp macro="" textlink="">
        <cdr:nvSpPr>
          <cdr:cNvPr id="2" name="TextBox 1"/>
          <cdr:cNvSpPr txBox="1"/>
        </cdr:nvSpPr>
        <cdr:spPr>
          <a:xfrm xmlns:a="http://schemas.openxmlformats.org/drawingml/2006/main">
            <a:off x="1208090" y="661725"/>
            <a:ext cx="2116421" cy="464705"/>
          </a:xfrm>
          <a:prstGeom xmlns:a="http://schemas.openxmlformats.org/drawingml/2006/main" prst="rect">
            <a:avLst/>
          </a:prstGeom>
        </cdr:spPr>
        <cdr:style>
          <a:lnRef xmlns:a="http://schemas.openxmlformats.org/drawingml/2006/main" idx="1">
            <a:schemeClr val="dk1"/>
          </a:lnRef>
          <a:fillRef xmlns:a="http://schemas.openxmlformats.org/drawingml/2006/main" idx="2">
            <a:schemeClr val="dk1"/>
          </a:fillRef>
          <a:effectRef xmlns:a="http://schemas.openxmlformats.org/drawingml/2006/main" idx="1">
            <a:schemeClr val="dk1"/>
          </a:effectRef>
          <a:fontRef xmlns:a="http://schemas.openxmlformats.org/drawingml/2006/main" idx="minor">
            <a:schemeClr val="dk1"/>
          </a:fontRef>
        </cdr:style>
        <cdr:txBody>
          <a:bodyPr xmlns:a="http://schemas.openxmlformats.org/drawingml/2006/main" vertOverflow="clip" wrap="square" rtlCol="0"/>
          <a:lstStyle xmlns:a="http://schemas.openxmlformats.org/drawingml/2006/main"/>
          <a:p xmlns:a="http://schemas.openxmlformats.org/drawingml/2006/main">
            <a:pPr algn="ctr"/>
            <a:r>
              <a:rPr lang="en-US" sz="2800"/>
              <a:t>Target % / $</a:t>
            </a:r>
          </a:p>
        </cdr:txBody>
      </cdr:sp>
      <cdr:sp macro="" textlink="">
        <cdr:nvSpPr>
          <cdr:cNvPr id="4" name="Straight Connector 3"/>
          <cdr:cNvSpPr/>
        </cdr:nvSpPr>
        <cdr:spPr>
          <a:xfrm xmlns:a="http://schemas.openxmlformats.org/drawingml/2006/main">
            <a:off x="3443289" y="991925"/>
            <a:ext cx="609600" cy="0"/>
          </a:xfrm>
          <a:prstGeom xmlns:a="http://schemas.openxmlformats.org/drawingml/2006/main" prst="line">
            <a:avLst/>
          </a:prstGeom>
          <a:ln xmlns:a="http://schemas.openxmlformats.org/drawingml/2006/main" w="76200">
            <a:solidFill>
              <a:schemeClr val="tx1">
                <a:lumMod val="75000"/>
                <a:lumOff val="2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pPr algn="ctr"/>
            <a:endParaRPr lang="en-US"/>
          </a:p>
        </cdr:txBody>
      </cdr:sp>
    </cdr:grpSp>
  </cdr:relSizeAnchor>
</c:userShapes>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285750</xdr:colOff>
          <xdr:row>0</xdr:row>
          <xdr:rowOff>28575</xdr:rowOff>
        </xdr:from>
        <xdr:to>
          <xdr:col>17</xdr:col>
          <xdr:colOff>695325</xdr:colOff>
          <xdr:row>20</xdr:row>
          <xdr:rowOff>76200</xdr:rowOff>
        </xdr:to>
        <xdr:sp macro="" textlink="">
          <xdr:nvSpPr>
            <xdr:cNvPr id="7170" name="Object 2" hidden="1">
              <a:extLst>
                <a:ext uri="{63B3BB69-23CF-44E3-9099-C40C66FF867C}">
                  <a14:compatExt spid="_x0000_s7170"/>
                </a:ext>
              </a:extLst>
            </xdr:cNvPr>
            <xdr:cNvSpPr/>
          </xdr:nvSpPr>
          <xdr:spPr>
            <a:xfrm>
              <a:off x="0" y="0"/>
              <a:ext cx="0" cy="0"/>
            </a:xfrm>
            <a:prstGeom prst="rect">
              <a:avLst/>
            </a:prstGeom>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6</xdr:col>
      <xdr:colOff>1104900</xdr:colOff>
      <xdr:row>36</xdr:row>
      <xdr:rowOff>76200</xdr:rowOff>
    </xdr:from>
    <xdr:to>
      <xdr:col>8</xdr:col>
      <xdr:colOff>1704975</xdr:colOff>
      <xdr:row>50</xdr:row>
      <xdr:rowOff>177800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895350</xdr:colOff>
      <xdr:row>146</xdr:row>
      <xdr:rowOff>85725</xdr:rowOff>
    </xdr:from>
    <xdr:to>
      <xdr:col>9</xdr:col>
      <xdr:colOff>238124</xdr:colOff>
      <xdr:row>159</xdr:row>
      <xdr:rowOff>146957</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1352550</xdr:colOff>
      <xdr:row>143</xdr:row>
      <xdr:rowOff>209550</xdr:rowOff>
    </xdr:from>
    <xdr:to>
      <xdr:col>5</xdr:col>
      <xdr:colOff>1343025</xdr:colOff>
      <xdr:row>159</xdr:row>
      <xdr:rowOff>57150</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238124</xdr:colOff>
      <xdr:row>0</xdr:row>
      <xdr:rowOff>123824</xdr:rowOff>
    </xdr:from>
    <xdr:to>
      <xdr:col>7</xdr:col>
      <xdr:colOff>85725</xdr:colOff>
      <xdr:row>15</xdr:row>
      <xdr:rowOff>85724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581024</xdr:colOff>
      <xdr:row>0</xdr:row>
      <xdr:rowOff>180974</xdr:rowOff>
    </xdr:from>
    <xdr:to>
      <xdr:col>14</xdr:col>
      <xdr:colOff>333375</xdr:colOff>
      <xdr:row>20</xdr:row>
      <xdr:rowOff>133350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238125</xdr:colOff>
      <xdr:row>15</xdr:row>
      <xdr:rowOff>152400</xdr:rowOff>
    </xdr:from>
    <xdr:to>
      <xdr:col>7</xdr:col>
      <xdr:colOff>123825</xdr:colOff>
      <xdr:row>31</xdr:row>
      <xdr:rowOff>171450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wa.gov/esd/1stop/docs/system_performance/System%20Performance%20Dashboard%20PY11Q3%20draft%20working%20copy%20for%20Am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lauswork\develop\1999\YT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ea Data"/>
      <sheetName val="Area Indicators"/>
      <sheetName val="Area Measures "/>
      <sheetName val="State Data"/>
      <sheetName val="State Indicators"/>
      <sheetName val="State Measures"/>
      <sheetName val="Definitions"/>
      <sheetName val="State PivotTables"/>
      <sheetName val="Area Pivot Tables"/>
      <sheetName val="Common Measures"/>
      <sheetName val="Lists"/>
      <sheetName val="WIA Title IB Charts"/>
      <sheetName val="MiscData"/>
    </sheetNames>
    <sheetDataSet>
      <sheetData sheetId="0"/>
      <sheetData sheetId="1"/>
      <sheetData sheetId="2"/>
      <sheetData sheetId="3"/>
      <sheetData sheetId="4"/>
      <sheetData sheetId="5"/>
      <sheetData sheetId="6"/>
      <sheetData sheetId="7"/>
      <sheetData sheetId="8"/>
      <sheetData sheetId="9"/>
      <sheetData sheetId="10">
        <row r="2">
          <cell r="A2" t="str">
            <v>Olympic</v>
          </cell>
        </row>
        <row r="3">
          <cell r="A3" t="str">
            <v>PacMtn</v>
          </cell>
        </row>
        <row r="4">
          <cell r="A4" t="str">
            <v>Northwest</v>
          </cell>
        </row>
        <row r="5">
          <cell r="A5" t="str">
            <v>Snohomish</v>
          </cell>
        </row>
        <row r="6">
          <cell r="A6" t="str">
            <v>King</v>
          </cell>
        </row>
        <row r="7">
          <cell r="A7" t="str">
            <v>Pierce</v>
          </cell>
        </row>
        <row r="8">
          <cell r="A8" t="str">
            <v>Southwest</v>
          </cell>
        </row>
        <row r="9">
          <cell r="A9" t="str">
            <v>North Central</v>
          </cell>
        </row>
        <row r="10">
          <cell r="A10" t="str">
            <v>South Central</v>
          </cell>
        </row>
        <row r="11">
          <cell r="A11" t="str">
            <v>Eastern</v>
          </cell>
        </row>
        <row r="12">
          <cell r="A12" t="str">
            <v>Benton-Franklin</v>
          </cell>
        </row>
        <row r="13">
          <cell r="A13" t="str">
            <v>Spokane</v>
          </cell>
        </row>
        <row r="16">
          <cell r="A16" t="str">
            <v>PY09 Q1</v>
          </cell>
        </row>
        <row r="17">
          <cell r="A17" t="str">
            <v>PY09 Q2</v>
          </cell>
        </row>
        <row r="18">
          <cell r="A18" t="str">
            <v>PY09 Q3</v>
          </cell>
        </row>
        <row r="19">
          <cell r="A19" t="str">
            <v>PY09 Q4</v>
          </cell>
        </row>
        <row r="20">
          <cell r="A20" t="str">
            <v>PY10 Q1</v>
          </cell>
        </row>
        <row r="21">
          <cell r="A21" t="str">
            <v>PY10 Q2</v>
          </cell>
        </row>
        <row r="22">
          <cell r="A22" t="str">
            <v>PY10 Q3</v>
          </cell>
        </row>
        <row r="23">
          <cell r="A23" t="str">
            <v>PY10 Q4</v>
          </cell>
        </row>
        <row r="24">
          <cell r="A24" t="str">
            <v>PY11 Q1</v>
          </cell>
        </row>
        <row r="25">
          <cell r="A25" t="str">
            <v>PY11 Q2</v>
          </cell>
        </row>
        <row r="26">
          <cell r="A26" t="str">
            <v>PY11 Q3</v>
          </cell>
        </row>
        <row r="27">
          <cell r="A27" t="str">
            <v>PY11 Q4</v>
          </cell>
        </row>
        <row r="28">
          <cell r="A28" t="str">
            <v>PY12 Q1</v>
          </cell>
        </row>
        <row r="29">
          <cell r="A29" t="str">
            <v>PY12 Q2</v>
          </cell>
        </row>
        <row r="30">
          <cell r="A30" t="str">
            <v>PY12 Q3</v>
          </cell>
        </row>
        <row r="31">
          <cell r="A31" t="str">
            <v>PY12 Q4</v>
          </cell>
        </row>
        <row r="32">
          <cell r="A32">
            <v>0</v>
          </cell>
        </row>
        <row r="33">
          <cell r="A33">
            <v>0</v>
          </cell>
        </row>
        <row r="34">
          <cell r="A34">
            <v>0</v>
          </cell>
        </row>
        <row r="35">
          <cell r="A35">
            <v>0</v>
          </cell>
        </row>
        <row r="36">
          <cell r="A36">
            <v>0</v>
          </cell>
        </row>
        <row r="37">
          <cell r="A37">
            <v>0</v>
          </cell>
        </row>
        <row r="38">
          <cell r="A38">
            <v>0</v>
          </cell>
        </row>
        <row r="39">
          <cell r="A39">
            <v>0</v>
          </cell>
        </row>
        <row r="40">
          <cell r="A40">
            <v>0</v>
          </cell>
        </row>
        <row r="41">
          <cell r="A41">
            <v>0</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mes"/>
      <sheetName val="Seas"/>
      <sheetName val="LastLink"/>
      <sheetName val="LinkToLss"/>
    </sheetNames>
    <sheetDataSet>
      <sheetData sheetId="0" refreshError="1"/>
      <sheetData sheetId="1" refreshError="1"/>
      <sheetData sheetId="2" refreshError="1"/>
      <sheetData sheetId="3">
        <row r="2">
          <cell r="B2" t="str">
            <v>ST5300001</v>
          </cell>
          <cell r="C2">
            <v>3140760</v>
          </cell>
          <cell r="D2">
            <v>344250</v>
          </cell>
          <cell r="E2">
            <v>3485010</v>
          </cell>
          <cell r="F2">
            <v>9.9</v>
          </cell>
          <cell r="G2">
            <v>3485010</v>
          </cell>
          <cell r="H2">
            <v>3140760</v>
          </cell>
          <cell r="I2">
            <v>344250</v>
          </cell>
          <cell r="J2">
            <v>9.9</v>
          </cell>
        </row>
        <row r="3">
          <cell r="B3" t="str">
            <v>ST5300002</v>
          </cell>
          <cell r="C3">
            <v>3150690</v>
          </cell>
          <cell r="D3">
            <v>346680</v>
          </cell>
          <cell r="E3">
            <v>3497370</v>
          </cell>
          <cell r="F3">
            <v>9.9</v>
          </cell>
          <cell r="G3">
            <v>3491190</v>
          </cell>
          <cell r="H3">
            <v>3145720</v>
          </cell>
          <cell r="I3">
            <v>345470</v>
          </cell>
          <cell r="J3">
            <v>9.8954067387614622</v>
          </cell>
        </row>
        <row r="4">
          <cell r="B4" t="str">
            <v>ST5300003</v>
          </cell>
          <cell r="C4">
            <v>3153460</v>
          </cell>
          <cell r="D4">
            <v>343260</v>
          </cell>
          <cell r="E4">
            <v>3496720</v>
          </cell>
          <cell r="F4">
            <v>9.8000000000000007</v>
          </cell>
          <cell r="G4">
            <v>3493040</v>
          </cell>
          <cell r="H4">
            <v>3148300</v>
          </cell>
          <cell r="I4">
            <v>344730</v>
          </cell>
          <cell r="J4">
            <v>9.8691510765992678</v>
          </cell>
        </row>
        <row r="5">
          <cell r="B5" t="str">
            <v>ST5300004</v>
          </cell>
          <cell r="C5">
            <v>3144520</v>
          </cell>
          <cell r="D5">
            <v>312230</v>
          </cell>
          <cell r="E5">
            <v>3456750</v>
          </cell>
          <cell r="F5">
            <v>9</v>
          </cell>
          <cell r="G5">
            <v>3483960</v>
          </cell>
          <cell r="H5">
            <v>3147360</v>
          </cell>
          <cell r="I5">
            <v>336610</v>
          </cell>
          <cell r="J5">
            <v>9.6615945470737827</v>
          </cell>
        </row>
        <row r="6">
          <cell r="B6" t="str">
            <v>ST5300005</v>
          </cell>
          <cell r="C6">
            <v>3164270</v>
          </cell>
          <cell r="D6">
            <v>311630</v>
          </cell>
          <cell r="E6">
            <v>3475900</v>
          </cell>
          <cell r="F6">
            <v>9</v>
          </cell>
          <cell r="G6">
            <v>3482350</v>
          </cell>
          <cell r="H6">
            <v>3150740</v>
          </cell>
          <cell r="I6">
            <v>331610</v>
          </cell>
          <cell r="J6">
            <v>9.5226086381198165</v>
          </cell>
        </row>
        <row r="7">
          <cell r="B7" t="str">
            <v>ST5300006</v>
          </cell>
          <cell r="C7">
            <v>3162990</v>
          </cell>
          <cell r="D7">
            <v>326160</v>
          </cell>
          <cell r="E7">
            <v>3489150</v>
          </cell>
          <cell r="F7">
            <v>9.3000000000000007</v>
          </cell>
          <cell r="G7">
            <v>3483480</v>
          </cell>
          <cell r="H7">
            <v>3152780</v>
          </cell>
          <cell r="I7">
            <v>330700</v>
          </cell>
          <cell r="J7">
            <v>9.4934198521039619</v>
          </cell>
        </row>
        <row r="8">
          <cell r="B8" t="str">
            <v>ST5300007</v>
          </cell>
          <cell r="C8">
            <v>3162440</v>
          </cell>
          <cell r="D8">
            <v>311030</v>
          </cell>
          <cell r="E8">
            <v>3473470</v>
          </cell>
          <cell r="F8">
            <v>9</v>
          </cell>
          <cell r="G8">
            <v>3482050</v>
          </cell>
          <cell r="H8">
            <v>3154160</v>
          </cell>
          <cell r="I8">
            <v>327890</v>
          </cell>
          <cell r="J8">
            <v>9.4166006923092045</v>
          </cell>
        </row>
        <row r="9">
          <cell r="B9" t="str">
            <v>ST5300008</v>
          </cell>
          <cell r="C9" t="str">
            <v/>
          </cell>
          <cell r="D9" t="str">
            <v/>
          </cell>
          <cell r="E9" t="e">
            <v>#VALUE!</v>
          </cell>
          <cell r="F9" t="str">
            <v/>
          </cell>
          <cell r="G9" t="str">
            <v/>
          </cell>
          <cell r="H9" t="str">
            <v/>
          </cell>
          <cell r="I9" t="str">
            <v/>
          </cell>
          <cell r="J9" t="str">
            <v/>
          </cell>
        </row>
        <row r="10">
          <cell r="B10" t="str">
            <v>ST5300009</v>
          </cell>
          <cell r="C10" t="str">
            <v/>
          </cell>
          <cell r="D10" t="str">
            <v/>
          </cell>
          <cell r="E10" t="e">
            <v>#VALUE!</v>
          </cell>
          <cell r="F10" t="str">
            <v/>
          </cell>
          <cell r="G10" t="str">
            <v/>
          </cell>
          <cell r="H10" t="str">
            <v/>
          </cell>
          <cell r="I10" t="str">
            <v/>
          </cell>
          <cell r="J10" t="str">
            <v/>
          </cell>
        </row>
        <row r="11">
          <cell r="B11" t="str">
            <v>ST53000010</v>
          </cell>
          <cell r="C11" t="str">
            <v/>
          </cell>
          <cell r="D11" t="str">
            <v/>
          </cell>
          <cell r="E11" t="e">
            <v>#VALUE!</v>
          </cell>
          <cell r="F11" t="str">
            <v/>
          </cell>
          <cell r="G11" t="str">
            <v/>
          </cell>
          <cell r="H11" t="str">
            <v/>
          </cell>
          <cell r="I11" t="str">
            <v/>
          </cell>
          <cell r="J11" t="str">
            <v/>
          </cell>
        </row>
        <row r="12">
          <cell r="B12" t="str">
            <v>ST53000011</v>
          </cell>
          <cell r="C12" t="str">
            <v/>
          </cell>
          <cell r="D12" t="str">
            <v/>
          </cell>
          <cell r="E12" t="e">
            <v>#VALUE!</v>
          </cell>
          <cell r="F12" t="str">
            <v/>
          </cell>
          <cell r="G12" t="str">
            <v/>
          </cell>
          <cell r="H12" t="str">
            <v/>
          </cell>
          <cell r="I12" t="str">
            <v/>
          </cell>
          <cell r="J12" t="str">
            <v/>
          </cell>
        </row>
        <row r="13">
          <cell r="B13" t="str">
            <v>ST53000012</v>
          </cell>
          <cell r="C13" t="str">
            <v/>
          </cell>
          <cell r="D13" t="str">
            <v/>
          </cell>
          <cell r="E13" t="e">
            <v>#VALUE!</v>
          </cell>
          <cell r="F13" t="str">
            <v/>
          </cell>
          <cell r="G13" t="str">
            <v/>
          </cell>
          <cell r="H13" t="str">
            <v/>
          </cell>
          <cell r="I13" t="str">
            <v/>
          </cell>
          <cell r="J13" t="str">
            <v/>
          </cell>
        </row>
        <row r="14">
          <cell r="B14" t="str">
            <v>PT5301321</v>
          </cell>
          <cell r="C14">
            <v>7710</v>
          </cell>
          <cell r="D14">
            <v>760</v>
          </cell>
          <cell r="E14">
            <v>8470</v>
          </cell>
          <cell r="F14">
            <v>8.9</v>
          </cell>
          <cell r="G14">
            <v>8470</v>
          </cell>
          <cell r="H14">
            <v>7710</v>
          </cell>
          <cell r="I14">
            <v>760</v>
          </cell>
          <cell r="J14">
            <v>8.9</v>
          </cell>
        </row>
        <row r="15">
          <cell r="B15" t="str">
            <v>PT5301322</v>
          </cell>
          <cell r="C15">
            <v>7760</v>
          </cell>
          <cell r="D15">
            <v>790</v>
          </cell>
          <cell r="E15">
            <v>8550</v>
          </cell>
          <cell r="F15">
            <v>9.3000000000000007</v>
          </cell>
          <cell r="G15">
            <v>8510</v>
          </cell>
          <cell r="H15">
            <v>7730</v>
          </cell>
          <cell r="I15">
            <v>780</v>
          </cell>
          <cell r="J15">
            <v>9.1144149967679375</v>
          </cell>
        </row>
        <row r="16">
          <cell r="B16" t="str">
            <v>PT5301323</v>
          </cell>
          <cell r="C16">
            <v>7730</v>
          </cell>
          <cell r="D16">
            <v>760</v>
          </cell>
          <cell r="E16">
            <v>8490</v>
          </cell>
          <cell r="F16">
            <v>9</v>
          </cell>
          <cell r="G16">
            <v>8500</v>
          </cell>
          <cell r="H16">
            <v>7730</v>
          </cell>
          <cell r="I16">
            <v>770</v>
          </cell>
          <cell r="J16">
            <v>9.0759399380562176</v>
          </cell>
        </row>
        <row r="17">
          <cell r="B17" t="str">
            <v>PT5301324</v>
          </cell>
          <cell r="C17">
            <v>7650</v>
          </cell>
          <cell r="D17">
            <v>680</v>
          </cell>
          <cell r="E17">
            <v>8330</v>
          </cell>
          <cell r="F17">
            <v>8.1</v>
          </cell>
          <cell r="G17">
            <v>8460</v>
          </cell>
          <cell r="H17">
            <v>7710</v>
          </cell>
          <cell r="I17">
            <v>750</v>
          </cell>
          <cell r="J17">
            <v>8.840742492314968</v>
          </cell>
        </row>
        <row r="18">
          <cell r="B18" t="str">
            <v>PT5301325</v>
          </cell>
          <cell r="C18">
            <v>7690</v>
          </cell>
          <cell r="D18">
            <v>670</v>
          </cell>
          <cell r="E18">
            <v>8360</v>
          </cell>
          <cell r="F18">
            <v>8</v>
          </cell>
          <cell r="G18">
            <v>8440</v>
          </cell>
          <cell r="H18">
            <v>7710</v>
          </cell>
          <cell r="I18">
            <v>730</v>
          </cell>
          <cell r="J18">
            <v>8.6718490780679716</v>
          </cell>
        </row>
        <row r="19">
          <cell r="B19" t="str">
            <v>PT5301326</v>
          </cell>
          <cell r="C19">
            <v>7690</v>
          </cell>
          <cell r="D19">
            <v>760</v>
          </cell>
          <cell r="E19">
            <v>8450</v>
          </cell>
          <cell r="F19">
            <v>9</v>
          </cell>
          <cell r="G19">
            <v>8440</v>
          </cell>
          <cell r="H19">
            <v>7700</v>
          </cell>
          <cell r="I19">
            <v>740</v>
          </cell>
          <cell r="J19">
            <v>8.7313653865139695</v>
          </cell>
        </row>
        <row r="20">
          <cell r="B20" t="str">
            <v>PT5301327</v>
          </cell>
          <cell r="C20">
            <v>7680</v>
          </cell>
          <cell r="D20">
            <v>750</v>
          </cell>
          <cell r="E20">
            <v>8430</v>
          </cell>
          <cell r="F20">
            <v>8.9</v>
          </cell>
          <cell r="G20">
            <v>8440</v>
          </cell>
          <cell r="H20">
            <v>7700</v>
          </cell>
          <cell r="I20">
            <v>740</v>
          </cell>
          <cell r="J20">
            <v>8.7562205897288337</v>
          </cell>
        </row>
        <row r="21">
          <cell r="B21" t="str">
            <v>PT5301328</v>
          </cell>
          <cell r="C21" t="str">
            <v/>
          </cell>
          <cell r="D21" t="str">
            <v/>
          </cell>
          <cell r="E21" t="e">
            <v>#VALUE!</v>
          </cell>
          <cell r="F21" t="str">
            <v/>
          </cell>
          <cell r="G21" t="str">
            <v/>
          </cell>
          <cell r="H21" t="str">
            <v/>
          </cell>
          <cell r="I21" t="str">
            <v/>
          </cell>
          <cell r="J21" t="str">
            <v/>
          </cell>
        </row>
        <row r="22">
          <cell r="B22" t="str">
            <v>PT5301329</v>
          </cell>
          <cell r="C22" t="str">
            <v/>
          </cell>
          <cell r="D22" t="str">
            <v/>
          </cell>
          <cell r="E22" t="e">
            <v>#VALUE!</v>
          </cell>
          <cell r="F22" t="str">
            <v/>
          </cell>
          <cell r="G22" t="str">
            <v/>
          </cell>
          <cell r="H22" t="str">
            <v/>
          </cell>
          <cell r="I22" t="str">
            <v/>
          </cell>
          <cell r="J22" t="str">
            <v/>
          </cell>
        </row>
        <row r="23">
          <cell r="B23" t="str">
            <v>PT53013210</v>
          </cell>
          <cell r="C23" t="str">
            <v/>
          </cell>
          <cell r="D23" t="str">
            <v/>
          </cell>
          <cell r="E23" t="e">
            <v>#VALUE!</v>
          </cell>
          <cell r="F23" t="str">
            <v/>
          </cell>
          <cell r="G23" t="str">
            <v/>
          </cell>
          <cell r="H23" t="str">
            <v/>
          </cell>
          <cell r="I23" t="str">
            <v/>
          </cell>
          <cell r="J23" t="str">
            <v/>
          </cell>
        </row>
        <row r="24">
          <cell r="B24" t="str">
            <v>PT53013211</v>
          </cell>
          <cell r="C24" t="str">
            <v/>
          </cell>
          <cell r="D24" t="str">
            <v/>
          </cell>
          <cell r="E24" t="e">
            <v>#VALUE!</v>
          </cell>
          <cell r="F24" t="str">
            <v/>
          </cell>
          <cell r="G24" t="str">
            <v/>
          </cell>
          <cell r="H24" t="str">
            <v/>
          </cell>
          <cell r="I24" t="str">
            <v/>
          </cell>
          <cell r="J24" t="str">
            <v/>
          </cell>
        </row>
        <row r="25">
          <cell r="B25" t="str">
            <v>PT53013212</v>
          </cell>
          <cell r="C25" t="str">
            <v/>
          </cell>
          <cell r="D25" t="str">
            <v/>
          </cell>
          <cell r="E25" t="e">
            <v>#VALUE!</v>
          </cell>
          <cell r="F25" t="str">
            <v/>
          </cell>
          <cell r="G25" t="str">
            <v/>
          </cell>
          <cell r="H25" t="str">
            <v/>
          </cell>
          <cell r="I25" t="str">
            <v/>
          </cell>
          <cell r="J25" t="str">
            <v/>
          </cell>
        </row>
        <row r="26">
          <cell r="B26" t="str">
            <v>PT5301311</v>
          </cell>
          <cell r="C26">
            <v>9890</v>
          </cell>
          <cell r="D26">
            <v>900</v>
          </cell>
          <cell r="E26">
            <v>10790</v>
          </cell>
          <cell r="F26">
            <v>8.4</v>
          </cell>
          <cell r="G26">
            <v>10800</v>
          </cell>
          <cell r="H26">
            <v>9890</v>
          </cell>
          <cell r="I26">
            <v>900</v>
          </cell>
          <cell r="J26">
            <v>8.4</v>
          </cell>
        </row>
        <row r="27">
          <cell r="B27" t="str">
            <v>PT5301312</v>
          </cell>
          <cell r="C27">
            <v>9950</v>
          </cell>
          <cell r="D27">
            <v>890</v>
          </cell>
          <cell r="E27">
            <v>10840</v>
          </cell>
          <cell r="F27">
            <v>8.1999999999999993</v>
          </cell>
          <cell r="G27">
            <v>10820</v>
          </cell>
          <cell r="H27">
            <v>9920</v>
          </cell>
          <cell r="I27">
            <v>900</v>
          </cell>
          <cell r="J27">
            <v>8.2913527753385416</v>
          </cell>
        </row>
        <row r="28">
          <cell r="B28" t="str">
            <v>PT5301313</v>
          </cell>
          <cell r="C28">
            <v>9910</v>
          </cell>
          <cell r="D28">
            <v>890</v>
          </cell>
          <cell r="E28">
            <v>10800</v>
          </cell>
          <cell r="F28">
            <v>8.3000000000000007</v>
          </cell>
          <cell r="G28">
            <v>10810</v>
          </cell>
          <cell r="H28">
            <v>9920</v>
          </cell>
          <cell r="I28">
            <v>900</v>
          </cell>
          <cell r="J28">
            <v>8.2850450006164476</v>
          </cell>
        </row>
        <row r="29">
          <cell r="B29" t="str">
            <v>PT5301314</v>
          </cell>
          <cell r="C29">
            <v>9810</v>
          </cell>
          <cell r="D29">
            <v>790</v>
          </cell>
          <cell r="E29">
            <v>10600</v>
          </cell>
          <cell r="F29">
            <v>7.4</v>
          </cell>
          <cell r="G29">
            <v>10760</v>
          </cell>
          <cell r="H29">
            <v>9890</v>
          </cell>
          <cell r="I29">
            <v>870</v>
          </cell>
          <cell r="J29">
            <v>8.0708112628937823</v>
          </cell>
        </row>
        <row r="30">
          <cell r="B30" t="str">
            <v>PT5301315</v>
          </cell>
          <cell r="C30">
            <v>9870</v>
          </cell>
          <cell r="D30">
            <v>770</v>
          </cell>
          <cell r="E30">
            <v>10640</v>
          </cell>
          <cell r="F30">
            <v>7.2</v>
          </cell>
          <cell r="G30">
            <v>10740</v>
          </cell>
          <cell r="H30">
            <v>9890</v>
          </cell>
          <cell r="I30">
            <v>850</v>
          </cell>
          <cell r="J30">
            <v>7.8985115776531725</v>
          </cell>
        </row>
        <row r="31">
          <cell r="B31" t="str">
            <v>PT5301316</v>
          </cell>
          <cell r="C31">
            <v>9860</v>
          </cell>
          <cell r="D31">
            <v>870</v>
          </cell>
          <cell r="E31">
            <v>10730</v>
          </cell>
          <cell r="F31">
            <v>8.1</v>
          </cell>
          <cell r="G31">
            <v>10740</v>
          </cell>
          <cell r="H31">
            <v>9880</v>
          </cell>
          <cell r="I31">
            <v>850</v>
          </cell>
          <cell r="J31">
            <v>7.9272174007545297</v>
          </cell>
        </row>
        <row r="32">
          <cell r="B32" t="str">
            <v>PT5301317</v>
          </cell>
          <cell r="C32">
            <v>9860</v>
          </cell>
          <cell r="D32">
            <v>840</v>
          </cell>
          <cell r="E32">
            <v>10700</v>
          </cell>
          <cell r="F32">
            <v>7.9</v>
          </cell>
          <cell r="G32">
            <v>10730</v>
          </cell>
          <cell r="H32">
            <v>9880</v>
          </cell>
          <cell r="I32">
            <v>850</v>
          </cell>
          <cell r="J32">
            <v>7.9216093514931236</v>
          </cell>
        </row>
        <row r="33">
          <cell r="B33" t="str">
            <v>PT5301318</v>
          </cell>
          <cell r="C33" t="str">
            <v/>
          </cell>
          <cell r="D33" t="str">
            <v/>
          </cell>
          <cell r="E33" t="e">
            <v>#VALUE!</v>
          </cell>
          <cell r="F33" t="str">
            <v/>
          </cell>
          <cell r="G33" t="str">
            <v/>
          </cell>
          <cell r="H33" t="str">
            <v/>
          </cell>
          <cell r="I33" t="str">
            <v/>
          </cell>
          <cell r="J33" t="str">
            <v/>
          </cell>
        </row>
        <row r="34">
          <cell r="B34" t="str">
            <v>PT5301319</v>
          </cell>
          <cell r="C34" t="str">
            <v/>
          </cell>
          <cell r="D34" t="str">
            <v/>
          </cell>
          <cell r="E34" t="e">
            <v>#VALUE!</v>
          </cell>
          <cell r="F34" t="str">
            <v/>
          </cell>
          <cell r="G34" t="str">
            <v/>
          </cell>
          <cell r="H34" t="str">
            <v/>
          </cell>
          <cell r="I34" t="str">
            <v/>
          </cell>
          <cell r="J34" t="str">
            <v/>
          </cell>
        </row>
        <row r="35">
          <cell r="B35" t="str">
            <v>PT53013110</v>
          </cell>
          <cell r="C35" t="str">
            <v/>
          </cell>
          <cell r="D35" t="str">
            <v/>
          </cell>
          <cell r="E35" t="e">
            <v>#VALUE!</v>
          </cell>
          <cell r="F35" t="str">
            <v/>
          </cell>
          <cell r="G35" t="str">
            <v/>
          </cell>
          <cell r="H35" t="str">
            <v/>
          </cell>
          <cell r="I35" t="str">
            <v/>
          </cell>
          <cell r="J35" t="str">
            <v/>
          </cell>
        </row>
        <row r="36">
          <cell r="B36" t="str">
            <v>PT53013111</v>
          </cell>
          <cell r="C36" t="str">
            <v/>
          </cell>
          <cell r="D36" t="str">
            <v/>
          </cell>
          <cell r="E36" t="e">
            <v>#VALUE!</v>
          </cell>
          <cell r="F36" t="str">
            <v/>
          </cell>
          <cell r="G36" t="str">
            <v/>
          </cell>
          <cell r="H36" t="str">
            <v/>
          </cell>
          <cell r="I36" t="str">
            <v/>
          </cell>
          <cell r="J36" t="str">
            <v/>
          </cell>
        </row>
        <row r="37">
          <cell r="B37" t="str">
            <v>PT53013112</v>
          </cell>
          <cell r="C37" t="str">
            <v/>
          </cell>
          <cell r="D37" t="str">
            <v/>
          </cell>
          <cell r="E37" t="e">
            <v>#VALUE!</v>
          </cell>
          <cell r="F37" t="str">
            <v/>
          </cell>
          <cell r="G37" t="str">
            <v/>
          </cell>
          <cell r="H37" t="str">
            <v/>
          </cell>
          <cell r="I37" t="str">
            <v/>
          </cell>
          <cell r="J37" t="str">
            <v/>
          </cell>
        </row>
        <row r="38">
          <cell r="B38" t="str">
            <v>PT5300521</v>
          </cell>
          <cell r="C38">
            <v>26500</v>
          </cell>
          <cell r="D38">
            <v>2790</v>
          </cell>
          <cell r="E38">
            <v>29290</v>
          </cell>
          <cell r="F38">
            <v>9.5</v>
          </cell>
          <cell r="G38">
            <v>29290</v>
          </cell>
          <cell r="H38">
            <v>26500</v>
          </cell>
          <cell r="I38">
            <v>2790</v>
          </cell>
          <cell r="J38">
            <v>9.5</v>
          </cell>
        </row>
        <row r="39">
          <cell r="B39" t="str">
            <v>PT5300522</v>
          </cell>
          <cell r="C39">
            <v>26650</v>
          </cell>
          <cell r="D39">
            <v>2830</v>
          </cell>
          <cell r="E39">
            <v>29480</v>
          </cell>
          <cell r="F39">
            <v>9.6</v>
          </cell>
          <cell r="G39">
            <v>29380</v>
          </cell>
          <cell r="H39">
            <v>26570</v>
          </cell>
          <cell r="I39">
            <v>2810</v>
          </cell>
          <cell r="J39">
            <v>9.5664307105907973</v>
          </cell>
        </row>
        <row r="40">
          <cell r="B40" t="str">
            <v>PT5300523</v>
          </cell>
          <cell r="C40">
            <v>26550</v>
          </cell>
          <cell r="D40">
            <v>2790</v>
          </cell>
          <cell r="E40">
            <v>29340</v>
          </cell>
          <cell r="F40">
            <v>9.5</v>
          </cell>
          <cell r="G40">
            <v>29370</v>
          </cell>
          <cell r="H40">
            <v>26570</v>
          </cell>
          <cell r="I40">
            <v>2800</v>
          </cell>
          <cell r="J40">
            <v>9.5454287497871864</v>
          </cell>
        </row>
        <row r="41">
          <cell r="B41" t="str">
            <v>PT5300524</v>
          </cell>
          <cell r="C41">
            <v>26280</v>
          </cell>
          <cell r="D41">
            <v>2630</v>
          </cell>
          <cell r="E41">
            <v>28910</v>
          </cell>
          <cell r="F41">
            <v>9.1</v>
          </cell>
          <cell r="G41">
            <v>29260</v>
          </cell>
          <cell r="H41">
            <v>26490</v>
          </cell>
          <cell r="I41">
            <v>2760</v>
          </cell>
          <cell r="J41">
            <v>9.4359132121585017</v>
          </cell>
        </row>
        <row r="42">
          <cell r="B42" t="str">
            <v>PT5300525</v>
          </cell>
          <cell r="C42">
            <v>26440</v>
          </cell>
          <cell r="D42">
            <v>2660</v>
          </cell>
          <cell r="E42">
            <v>29100</v>
          </cell>
          <cell r="F42">
            <v>9.1999999999999993</v>
          </cell>
          <cell r="G42">
            <v>29220</v>
          </cell>
          <cell r="H42">
            <v>26480</v>
          </cell>
          <cell r="I42">
            <v>2740</v>
          </cell>
          <cell r="J42">
            <v>9.3797690986360802</v>
          </cell>
        </row>
        <row r="43">
          <cell r="B43" t="str">
            <v>PT5300526</v>
          </cell>
          <cell r="C43">
            <v>26420</v>
          </cell>
          <cell r="D43">
            <v>2830</v>
          </cell>
          <cell r="E43">
            <v>29250</v>
          </cell>
          <cell r="F43">
            <v>9.6999999999999993</v>
          </cell>
          <cell r="G43">
            <v>29230</v>
          </cell>
          <cell r="H43">
            <v>26470</v>
          </cell>
          <cell r="I43">
            <v>2760</v>
          </cell>
          <cell r="J43">
            <v>9.4307023846180158</v>
          </cell>
        </row>
        <row r="44">
          <cell r="B44" t="str">
            <v>PT5300527</v>
          </cell>
          <cell r="C44">
            <v>26400</v>
          </cell>
          <cell r="D44">
            <v>2700</v>
          </cell>
          <cell r="E44">
            <v>29100</v>
          </cell>
          <cell r="F44">
            <v>9.3000000000000007</v>
          </cell>
          <cell r="G44">
            <v>29210</v>
          </cell>
          <cell r="H44">
            <v>26460</v>
          </cell>
          <cell r="I44">
            <v>2750</v>
          </cell>
          <cell r="J44">
            <v>9.4104873969306606</v>
          </cell>
        </row>
        <row r="45">
          <cell r="B45" t="str">
            <v>PT5300528</v>
          </cell>
          <cell r="C45" t="str">
            <v/>
          </cell>
          <cell r="D45" t="str">
            <v/>
          </cell>
          <cell r="E45" t="e">
            <v>#VALUE!</v>
          </cell>
          <cell r="F45" t="str">
            <v/>
          </cell>
          <cell r="G45" t="str">
            <v/>
          </cell>
          <cell r="H45" t="str">
            <v/>
          </cell>
          <cell r="I45" t="str">
            <v/>
          </cell>
          <cell r="J45" t="str">
            <v/>
          </cell>
        </row>
        <row r="46">
          <cell r="B46" t="str">
            <v>PT5300529</v>
          </cell>
          <cell r="C46" t="str">
            <v/>
          </cell>
          <cell r="D46" t="str">
            <v/>
          </cell>
          <cell r="E46" t="e">
            <v>#VALUE!</v>
          </cell>
          <cell r="F46" t="str">
            <v/>
          </cell>
          <cell r="G46" t="str">
            <v/>
          </cell>
          <cell r="H46" t="str">
            <v/>
          </cell>
          <cell r="I46" t="str">
            <v/>
          </cell>
          <cell r="J46" t="str">
            <v/>
          </cell>
        </row>
        <row r="47">
          <cell r="B47" t="str">
            <v>PT53005210</v>
          </cell>
          <cell r="C47" t="str">
            <v/>
          </cell>
          <cell r="D47" t="str">
            <v/>
          </cell>
          <cell r="E47" t="e">
            <v>#VALUE!</v>
          </cell>
          <cell r="F47" t="str">
            <v/>
          </cell>
          <cell r="G47" t="str">
            <v/>
          </cell>
          <cell r="H47" t="str">
            <v/>
          </cell>
          <cell r="I47" t="str">
            <v/>
          </cell>
          <cell r="J47" t="str">
            <v/>
          </cell>
        </row>
        <row r="48">
          <cell r="B48" t="str">
            <v>PT53005211</v>
          </cell>
          <cell r="C48" t="str">
            <v/>
          </cell>
          <cell r="D48" t="str">
            <v/>
          </cell>
          <cell r="E48" t="e">
            <v>#VALUE!</v>
          </cell>
          <cell r="F48" t="str">
            <v/>
          </cell>
          <cell r="G48" t="str">
            <v/>
          </cell>
          <cell r="H48" t="str">
            <v/>
          </cell>
          <cell r="I48" t="str">
            <v/>
          </cell>
          <cell r="J48" t="str">
            <v/>
          </cell>
        </row>
        <row r="49">
          <cell r="B49" t="str">
            <v>PT53005212</v>
          </cell>
          <cell r="C49" t="str">
            <v/>
          </cell>
          <cell r="D49" t="str">
            <v/>
          </cell>
          <cell r="E49" t="e">
            <v>#VALUE!</v>
          </cell>
          <cell r="F49" t="str">
            <v/>
          </cell>
          <cell r="G49" t="str">
            <v/>
          </cell>
          <cell r="H49" t="str">
            <v/>
          </cell>
          <cell r="I49" t="str">
            <v/>
          </cell>
          <cell r="J49" t="str">
            <v/>
          </cell>
        </row>
        <row r="50">
          <cell r="B50" t="str">
            <v>PT5300511</v>
          </cell>
          <cell r="C50">
            <v>2880</v>
          </cell>
          <cell r="D50">
            <v>160</v>
          </cell>
          <cell r="E50">
            <v>3040</v>
          </cell>
          <cell r="F50">
            <v>5.0999999999999996</v>
          </cell>
          <cell r="G50">
            <v>3030</v>
          </cell>
          <cell r="H50">
            <v>2880</v>
          </cell>
          <cell r="I50">
            <v>160</v>
          </cell>
          <cell r="J50">
            <v>5.0999999999999996</v>
          </cell>
        </row>
        <row r="51">
          <cell r="B51" t="str">
            <v>PT5300512</v>
          </cell>
          <cell r="C51">
            <v>2860</v>
          </cell>
          <cell r="D51">
            <v>170</v>
          </cell>
          <cell r="E51">
            <v>3030</v>
          </cell>
          <cell r="F51">
            <v>5.5</v>
          </cell>
          <cell r="G51">
            <v>3030</v>
          </cell>
          <cell r="H51">
            <v>2870</v>
          </cell>
          <cell r="I51">
            <v>160</v>
          </cell>
          <cell r="J51">
            <v>5.3014037985136246</v>
          </cell>
        </row>
        <row r="52">
          <cell r="B52" t="str">
            <v>PT5300513</v>
          </cell>
          <cell r="C52">
            <v>2860</v>
          </cell>
          <cell r="D52">
            <v>180</v>
          </cell>
          <cell r="E52">
            <v>3040</v>
          </cell>
          <cell r="F52">
            <v>5.9</v>
          </cell>
          <cell r="G52">
            <v>3030</v>
          </cell>
          <cell r="H52">
            <v>2870</v>
          </cell>
          <cell r="I52">
            <v>170</v>
          </cell>
          <cell r="J52">
            <v>5.5079155672823221</v>
          </cell>
        </row>
        <row r="53">
          <cell r="B53" t="str">
            <v>PT5300514</v>
          </cell>
          <cell r="C53">
            <v>2860</v>
          </cell>
          <cell r="D53">
            <v>150</v>
          </cell>
          <cell r="E53">
            <v>3010</v>
          </cell>
          <cell r="F53">
            <v>4.9000000000000004</v>
          </cell>
          <cell r="G53">
            <v>3020</v>
          </cell>
          <cell r="H53">
            <v>2860</v>
          </cell>
          <cell r="I53">
            <v>160</v>
          </cell>
          <cell r="J53">
            <v>5.3479914035377742</v>
          </cell>
        </row>
        <row r="54">
          <cell r="B54" t="str">
            <v>PT5300515</v>
          </cell>
          <cell r="C54">
            <v>2890</v>
          </cell>
          <cell r="D54">
            <v>150</v>
          </cell>
          <cell r="E54">
            <v>3040</v>
          </cell>
          <cell r="F54">
            <v>5</v>
          </cell>
          <cell r="G54">
            <v>3030</v>
          </cell>
          <cell r="H54">
            <v>2870</v>
          </cell>
          <cell r="I54">
            <v>160</v>
          </cell>
          <cell r="J54">
            <v>5.272547076313181</v>
          </cell>
        </row>
        <row r="55">
          <cell r="B55" t="str">
            <v>PT5300516</v>
          </cell>
          <cell r="C55">
            <v>2830</v>
          </cell>
          <cell r="D55">
            <v>170</v>
          </cell>
          <cell r="E55">
            <v>3000</v>
          </cell>
          <cell r="F55">
            <v>5.6</v>
          </cell>
          <cell r="G55">
            <v>3020</v>
          </cell>
          <cell r="H55">
            <v>2860</v>
          </cell>
          <cell r="I55">
            <v>160</v>
          </cell>
          <cell r="J55">
            <v>5.3223760410346914</v>
          </cell>
        </row>
        <row r="56">
          <cell r="B56" t="str">
            <v>PT5300517</v>
          </cell>
          <cell r="C56">
            <v>2790</v>
          </cell>
          <cell r="D56">
            <v>170</v>
          </cell>
          <cell r="E56">
            <v>2960</v>
          </cell>
          <cell r="F56">
            <v>5.6</v>
          </cell>
          <cell r="G56">
            <v>3010</v>
          </cell>
          <cell r="H56">
            <v>2850</v>
          </cell>
          <cell r="I56">
            <v>160</v>
          </cell>
          <cell r="J56">
            <v>5.3645116918844575</v>
          </cell>
        </row>
        <row r="57">
          <cell r="B57" t="str">
            <v>PT5300518</v>
          </cell>
          <cell r="C57" t="str">
            <v/>
          </cell>
          <cell r="D57" t="str">
            <v/>
          </cell>
          <cell r="E57" t="e">
            <v>#VALUE!</v>
          </cell>
          <cell r="F57" t="str">
            <v/>
          </cell>
          <cell r="G57" t="str">
            <v/>
          </cell>
          <cell r="H57" t="str">
            <v/>
          </cell>
          <cell r="I57" t="str">
            <v/>
          </cell>
          <cell r="J57" t="str">
            <v/>
          </cell>
        </row>
        <row r="58">
          <cell r="B58" t="str">
            <v>PT5300519</v>
          </cell>
          <cell r="C58" t="str">
            <v/>
          </cell>
          <cell r="D58" t="str">
            <v/>
          </cell>
          <cell r="E58" t="e">
            <v>#VALUE!</v>
          </cell>
          <cell r="F58" t="str">
            <v/>
          </cell>
          <cell r="G58" t="str">
            <v/>
          </cell>
          <cell r="H58" t="str">
            <v/>
          </cell>
          <cell r="I58" t="str">
            <v/>
          </cell>
          <cell r="J58" t="str">
            <v/>
          </cell>
        </row>
        <row r="59">
          <cell r="B59" t="str">
            <v>PT53005110</v>
          </cell>
          <cell r="C59" t="str">
            <v/>
          </cell>
          <cell r="D59" t="str">
            <v/>
          </cell>
          <cell r="E59" t="e">
            <v>#VALUE!</v>
          </cell>
          <cell r="F59" t="str">
            <v/>
          </cell>
          <cell r="G59" t="str">
            <v/>
          </cell>
          <cell r="H59" t="str">
            <v/>
          </cell>
          <cell r="I59" t="str">
            <v/>
          </cell>
          <cell r="J59" t="str">
            <v/>
          </cell>
        </row>
        <row r="60">
          <cell r="B60" t="str">
            <v>PT53005111</v>
          </cell>
          <cell r="C60" t="str">
            <v/>
          </cell>
          <cell r="D60" t="str">
            <v/>
          </cell>
          <cell r="E60" t="e">
            <v>#VALUE!</v>
          </cell>
          <cell r="F60" t="str">
            <v/>
          </cell>
          <cell r="G60" t="str">
            <v/>
          </cell>
          <cell r="H60" t="str">
            <v/>
          </cell>
          <cell r="I60" t="str">
            <v/>
          </cell>
          <cell r="J60" t="str">
            <v/>
          </cell>
        </row>
        <row r="61">
          <cell r="B61" t="str">
            <v>PT53005112</v>
          </cell>
          <cell r="C61" t="str">
            <v/>
          </cell>
          <cell r="D61" t="str">
            <v/>
          </cell>
          <cell r="E61" t="e">
            <v>#VALUE!</v>
          </cell>
          <cell r="F61" t="str">
            <v/>
          </cell>
          <cell r="G61" t="str">
            <v/>
          </cell>
          <cell r="H61" t="str">
            <v/>
          </cell>
          <cell r="I61" t="str">
            <v/>
          </cell>
          <cell r="J61" t="str">
            <v/>
          </cell>
        </row>
        <row r="62">
          <cell r="B62" t="str">
            <v>PS5303001</v>
          </cell>
          <cell r="C62">
            <v>340770</v>
          </cell>
          <cell r="D62">
            <v>38580</v>
          </cell>
          <cell r="E62">
            <v>379350</v>
          </cell>
          <cell r="F62">
            <v>10.199999999999999</v>
          </cell>
          <cell r="G62">
            <v>379360</v>
          </cell>
          <cell r="H62">
            <v>340770</v>
          </cell>
          <cell r="I62">
            <v>38580</v>
          </cell>
          <cell r="J62">
            <v>10.199999999999999</v>
          </cell>
        </row>
        <row r="63">
          <cell r="B63" t="str">
            <v>PS5303002</v>
          </cell>
          <cell r="C63">
            <v>342680</v>
          </cell>
          <cell r="D63">
            <v>39730</v>
          </cell>
          <cell r="E63">
            <v>382410</v>
          </cell>
          <cell r="F63">
            <v>10.4</v>
          </cell>
          <cell r="G63">
            <v>380880</v>
          </cell>
          <cell r="H63">
            <v>341730</v>
          </cell>
          <cell r="I63">
            <v>39150</v>
          </cell>
          <cell r="J63">
            <v>10.279982461713763</v>
          </cell>
        </row>
        <row r="64">
          <cell r="B64" t="str">
            <v>PS5303003</v>
          </cell>
          <cell r="C64">
            <v>341420</v>
          </cell>
          <cell r="D64">
            <v>38780</v>
          </cell>
          <cell r="E64">
            <v>380200</v>
          </cell>
          <cell r="F64">
            <v>10.199999999999999</v>
          </cell>
          <cell r="G64">
            <v>380650</v>
          </cell>
          <cell r="H64">
            <v>341630</v>
          </cell>
          <cell r="I64">
            <v>39030</v>
          </cell>
          <cell r="J64">
            <v>10.25305570588163</v>
          </cell>
        </row>
        <row r="65">
          <cell r="B65" t="str">
            <v>PS5303004</v>
          </cell>
          <cell r="C65">
            <v>338020</v>
          </cell>
          <cell r="D65">
            <v>35310</v>
          </cell>
          <cell r="E65">
            <v>373330</v>
          </cell>
          <cell r="F65">
            <v>9.5</v>
          </cell>
          <cell r="G65">
            <v>378820</v>
          </cell>
          <cell r="H65">
            <v>340720</v>
          </cell>
          <cell r="I65">
            <v>38100</v>
          </cell>
          <cell r="J65">
            <v>10.056933259331755</v>
          </cell>
        </row>
        <row r="66">
          <cell r="B66" t="str">
            <v>PS5303005</v>
          </cell>
          <cell r="C66">
            <v>339990</v>
          </cell>
          <cell r="D66">
            <v>34620</v>
          </cell>
          <cell r="E66">
            <v>374610</v>
          </cell>
          <cell r="F66">
            <v>9.1999999999999993</v>
          </cell>
          <cell r="G66">
            <v>377980</v>
          </cell>
          <cell r="H66">
            <v>340580</v>
          </cell>
          <cell r="I66">
            <v>37400</v>
          </cell>
          <cell r="J66">
            <v>9.8952319976294927</v>
          </cell>
        </row>
        <row r="67">
          <cell r="B67" t="str">
            <v>PS5303006</v>
          </cell>
          <cell r="C67">
            <v>339730</v>
          </cell>
          <cell r="D67">
            <v>38270</v>
          </cell>
          <cell r="E67">
            <v>378000</v>
          </cell>
          <cell r="F67">
            <v>10.1</v>
          </cell>
          <cell r="G67">
            <v>377980</v>
          </cell>
          <cell r="H67">
            <v>340440</v>
          </cell>
          <cell r="I67">
            <v>37550</v>
          </cell>
          <cell r="J67">
            <v>9.9334492412119957</v>
          </cell>
        </row>
        <row r="68">
          <cell r="B68" t="str">
            <v>PS5303007</v>
          </cell>
          <cell r="C68">
            <v>339470</v>
          </cell>
          <cell r="D68">
            <v>37800</v>
          </cell>
          <cell r="E68">
            <v>377270</v>
          </cell>
          <cell r="F68">
            <v>10</v>
          </cell>
          <cell r="G68">
            <v>377880</v>
          </cell>
          <cell r="H68">
            <v>340300</v>
          </cell>
          <cell r="I68">
            <v>37580</v>
          </cell>
          <cell r="J68">
            <v>9.9457840184397082</v>
          </cell>
        </row>
        <row r="69">
          <cell r="B69" t="str">
            <v>PS5303008</v>
          </cell>
          <cell r="C69" t="str">
            <v/>
          </cell>
          <cell r="D69" t="str">
            <v/>
          </cell>
          <cell r="E69" t="e">
            <v>#VALUE!</v>
          </cell>
          <cell r="F69" t="str">
            <v/>
          </cell>
          <cell r="G69" t="str">
            <v/>
          </cell>
          <cell r="H69" t="str">
            <v/>
          </cell>
          <cell r="I69" t="str">
            <v/>
          </cell>
          <cell r="J69" t="str">
            <v/>
          </cell>
        </row>
        <row r="70">
          <cell r="B70" t="str">
            <v>PS5303009</v>
          </cell>
          <cell r="C70" t="str">
            <v/>
          </cell>
          <cell r="D70" t="str">
            <v/>
          </cell>
          <cell r="E70" t="e">
            <v>#VALUE!</v>
          </cell>
          <cell r="F70" t="str">
            <v/>
          </cell>
          <cell r="G70" t="str">
            <v/>
          </cell>
          <cell r="H70" t="str">
            <v/>
          </cell>
          <cell r="I70" t="str">
            <v/>
          </cell>
          <cell r="J70" t="str">
            <v/>
          </cell>
        </row>
        <row r="71">
          <cell r="B71" t="str">
            <v>PS53030010</v>
          </cell>
          <cell r="C71" t="str">
            <v/>
          </cell>
          <cell r="D71" t="str">
            <v/>
          </cell>
          <cell r="E71" t="e">
            <v>#VALUE!</v>
          </cell>
          <cell r="F71" t="str">
            <v/>
          </cell>
          <cell r="G71" t="str">
            <v/>
          </cell>
          <cell r="H71" t="str">
            <v/>
          </cell>
          <cell r="I71" t="str">
            <v/>
          </cell>
          <cell r="J71" t="str">
            <v/>
          </cell>
        </row>
        <row r="72">
          <cell r="B72" t="str">
            <v>PS53030011</v>
          </cell>
          <cell r="C72" t="str">
            <v/>
          </cell>
          <cell r="D72" t="str">
            <v/>
          </cell>
          <cell r="E72" t="e">
            <v>#VALUE!</v>
          </cell>
          <cell r="F72" t="str">
            <v/>
          </cell>
          <cell r="G72" t="str">
            <v/>
          </cell>
          <cell r="H72" t="str">
            <v/>
          </cell>
          <cell r="I72" t="str">
            <v/>
          </cell>
          <cell r="J72" t="str">
            <v/>
          </cell>
        </row>
        <row r="73">
          <cell r="B73" t="str">
            <v>PS53030012</v>
          </cell>
          <cell r="C73" t="str">
            <v/>
          </cell>
          <cell r="D73" t="str">
            <v/>
          </cell>
          <cell r="E73" t="e">
            <v>#VALUE!</v>
          </cell>
          <cell r="F73" t="str">
            <v/>
          </cell>
          <cell r="G73" t="str">
            <v/>
          </cell>
          <cell r="H73" t="str">
            <v/>
          </cell>
          <cell r="I73" t="str">
            <v/>
          </cell>
          <cell r="J73" t="str">
            <v/>
          </cell>
        </row>
        <row r="74">
          <cell r="B74" t="str">
            <v>PS5302501</v>
          </cell>
          <cell r="C74">
            <v>1009150</v>
          </cell>
          <cell r="D74">
            <v>94050</v>
          </cell>
          <cell r="E74">
            <v>1103200</v>
          </cell>
          <cell r="F74">
            <v>8.5</v>
          </cell>
          <cell r="G74">
            <v>1103200</v>
          </cell>
          <cell r="H74">
            <v>1009150</v>
          </cell>
          <cell r="I74">
            <v>94050</v>
          </cell>
          <cell r="J74">
            <v>8.5</v>
          </cell>
        </row>
        <row r="75">
          <cell r="B75" t="str">
            <v>PS5302502</v>
          </cell>
          <cell r="C75">
            <v>1014800</v>
          </cell>
          <cell r="D75">
            <v>96330</v>
          </cell>
          <cell r="E75">
            <v>1111130</v>
          </cell>
          <cell r="F75">
            <v>8.6999999999999993</v>
          </cell>
          <cell r="G75">
            <v>1107160</v>
          </cell>
          <cell r="H75">
            <v>1011980</v>
          </cell>
          <cell r="I75">
            <v>95190</v>
          </cell>
          <cell r="J75">
            <v>8.5973790670389096</v>
          </cell>
        </row>
        <row r="76">
          <cell r="B76" t="str">
            <v>PS5302503</v>
          </cell>
          <cell r="C76">
            <v>1011080</v>
          </cell>
          <cell r="D76">
            <v>93940</v>
          </cell>
          <cell r="E76">
            <v>1105020</v>
          </cell>
          <cell r="F76">
            <v>8.5</v>
          </cell>
          <cell r="G76">
            <v>1106450</v>
          </cell>
          <cell r="H76">
            <v>1011680</v>
          </cell>
          <cell r="I76">
            <v>94770</v>
          </cell>
          <cell r="J76">
            <v>8.5653094603359765</v>
          </cell>
        </row>
        <row r="77">
          <cell r="B77" t="str">
            <v>PS5302504</v>
          </cell>
          <cell r="C77">
            <v>1000990</v>
          </cell>
          <cell r="D77">
            <v>87140</v>
          </cell>
          <cell r="E77">
            <v>1088130</v>
          </cell>
          <cell r="F77">
            <v>8</v>
          </cell>
          <cell r="G77">
            <v>1101870</v>
          </cell>
          <cell r="H77">
            <v>1009000</v>
          </cell>
          <cell r="I77">
            <v>92860</v>
          </cell>
          <cell r="J77">
            <v>8.4277620557285822</v>
          </cell>
        </row>
        <row r="78">
          <cell r="B78" t="str">
            <v>PS5302505</v>
          </cell>
          <cell r="C78">
            <v>1006830</v>
          </cell>
          <cell r="D78">
            <v>87300</v>
          </cell>
          <cell r="E78">
            <v>1094130</v>
          </cell>
          <cell r="F78">
            <v>8</v>
          </cell>
          <cell r="G78">
            <v>1100320</v>
          </cell>
          <cell r="H78">
            <v>1008570</v>
          </cell>
          <cell r="I78">
            <v>91750</v>
          </cell>
          <cell r="J78">
            <v>8.3384318519819143</v>
          </cell>
        </row>
        <row r="79">
          <cell r="B79" t="str">
            <v>PS5302506</v>
          </cell>
          <cell r="C79">
            <v>1006070</v>
          </cell>
          <cell r="D79">
            <v>97520</v>
          </cell>
          <cell r="E79">
            <v>1103590</v>
          </cell>
          <cell r="F79">
            <v>8.8000000000000007</v>
          </cell>
          <cell r="G79">
            <v>1100870</v>
          </cell>
          <cell r="H79">
            <v>1008150</v>
          </cell>
          <cell r="I79">
            <v>92710</v>
          </cell>
          <cell r="J79">
            <v>8.421709531185396</v>
          </cell>
        </row>
        <row r="80">
          <cell r="B80" t="str">
            <v>PS5302507</v>
          </cell>
          <cell r="C80">
            <v>1005280</v>
          </cell>
          <cell r="D80">
            <v>95100</v>
          </cell>
          <cell r="E80">
            <v>1100380</v>
          </cell>
          <cell r="F80">
            <v>8.6</v>
          </cell>
          <cell r="G80">
            <v>1100800</v>
          </cell>
          <cell r="H80">
            <v>1007740</v>
          </cell>
          <cell r="I80">
            <v>93050</v>
          </cell>
          <cell r="J80">
            <v>8.4532432686723578</v>
          </cell>
        </row>
        <row r="81">
          <cell r="B81" t="str">
            <v>PS5302508</v>
          </cell>
          <cell r="C81" t="str">
            <v/>
          </cell>
          <cell r="D81" t="str">
            <v/>
          </cell>
          <cell r="E81" t="e">
            <v>#VALUE!</v>
          </cell>
          <cell r="F81" t="str">
            <v/>
          </cell>
          <cell r="G81" t="str">
            <v/>
          </cell>
          <cell r="H81" t="str">
            <v/>
          </cell>
          <cell r="I81" t="str">
            <v/>
          </cell>
          <cell r="J81" t="str">
            <v/>
          </cell>
        </row>
        <row r="82">
          <cell r="B82" t="str">
            <v>PS5302509</v>
          </cell>
          <cell r="C82" t="str">
            <v/>
          </cell>
          <cell r="D82" t="str">
            <v/>
          </cell>
          <cell r="E82" t="e">
            <v>#VALUE!</v>
          </cell>
          <cell r="F82" t="str">
            <v/>
          </cell>
          <cell r="G82" t="str">
            <v/>
          </cell>
          <cell r="H82" t="str">
            <v/>
          </cell>
          <cell r="I82" t="str">
            <v/>
          </cell>
          <cell r="J82" t="str">
            <v/>
          </cell>
        </row>
        <row r="83">
          <cell r="B83" t="str">
            <v>PS53025010</v>
          </cell>
          <cell r="C83" t="str">
            <v/>
          </cell>
          <cell r="D83" t="str">
            <v/>
          </cell>
          <cell r="E83" t="e">
            <v>#VALUE!</v>
          </cell>
          <cell r="F83" t="str">
            <v/>
          </cell>
          <cell r="G83" t="str">
            <v/>
          </cell>
          <cell r="H83" t="str">
            <v/>
          </cell>
          <cell r="I83" t="str">
            <v/>
          </cell>
          <cell r="J83" t="str">
            <v/>
          </cell>
        </row>
        <row r="84">
          <cell r="B84" t="str">
            <v>PS53025011</v>
          </cell>
          <cell r="C84" t="str">
            <v/>
          </cell>
          <cell r="D84" t="str">
            <v/>
          </cell>
          <cell r="E84" t="e">
            <v>#VALUE!</v>
          </cell>
          <cell r="F84" t="str">
            <v/>
          </cell>
          <cell r="G84" t="str">
            <v/>
          </cell>
          <cell r="H84" t="str">
            <v/>
          </cell>
          <cell r="I84" t="str">
            <v/>
          </cell>
          <cell r="J84" t="str">
            <v/>
          </cell>
        </row>
        <row r="85">
          <cell r="B85" t="str">
            <v>PS53025012</v>
          </cell>
          <cell r="C85" t="str">
            <v/>
          </cell>
          <cell r="D85" t="str">
            <v/>
          </cell>
          <cell r="E85" t="e">
            <v>#VALUE!</v>
          </cell>
          <cell r="F85" t="str">
            <v/>
          </cell>
          <cell r="G85" t="str">
            <v/>
          </cell>
          <cell r="H85" t="str">
            <v/>
          </cell>
          <cell r="I85" t="str">
            <v/>
          </cell>
          <cell r="J85" t="str">
            <v/>
          </cell>
        </row>
        <row r="86">
          <cell r="B86" t="str">
            <v>PA5308501</v>
          </cell>
          <cell r="C86">
            <v>89120</v>
          </cell>
          <cell r="D86">
            <v>10120</v>
          </cell>
          <cell r="E86">
            <v>99240</v>
          </cell>
          <cell r="F86">
            <v>10.199999999999999</v>
          </cell>
          <cell r="G86">
            <v>99230</v>
          </cell>
          <cell r="H86">
            <v>89120</v>
          </cell>
          <cell r="I86">
            <v>10120</v>
          </cell>
          <cell r="J86">
            <v>10.199999999999999</v>
          </cell>
        </row>
        <row r="87">
          <cell r="B87" t="str">
            <v>PA5308502</v>
          </cell>
          <cell r="C87">
            <v>88500</v>
          </cell>
          <cell r="D87">
            <v>10170</v>
          </cell>
          <cell r="E87">
            <v>98670</v>
          </cell>
          <cell r="F87">
            <v>10.3</v>
          </cell>
          <cell r="G87">
            <v>98950</v>
          </cell>
          <cell r="H87">
            <v>88810</v>
          </cell>
          <cell r="I87">
            <v>10150</v>
          </cell>
          <cell r="J87">
            <v>10.253404411207399</v>
          </cell>
        </row>
        <row r="88">
          <cell r="B88" t="str">
            <v>PA5308503</v>
          </cell>
          <cell r="C88">
            <v>88630</v>
          </cell>
          <cell r="D88">
            <v>10280</v>
          </cell>
          <cell r="E88">
            <v>98910</v>
          </cell>
          <cell r="F88">
            <v>10.4</v>
          </cell>
          <cell r="G88">
            <v>98940</v>
          </cell>
          <cell r="H88">
            <v>88750</v>
          </cell>
          <cell r="I88">
            <v>10190</v>
          </cell>
          <cell r="J88">
            <v>10.300018530060811</v>
          </cell>
        </row>
        <row r="89">
          <cell r="B89" t="str">
            <v>PA5308504</v>
          </cell>
          <cell r="C89">
            <v>88470</v>
          </cell>
          <cell r="D89">
            <v>9530</v>
          </cell>
          <cell r="E89">
            <v>98000</v>
          </cell>
          <cell r="F89">
            <v>9.6999999999999993</v>
          </cell>
          <cell r="G89">
            <v>98700</v>
          </cell>
          <cell r="H89">
            <v>88680</v>
          </cell>
          <cell r="I89">
            <v>10030</v>
          </cell>
          <cell r="J89">
            <v>10.157110762707786</v>
          </cell>
        </row>
        <row r="90">
          <cell r="B90" t="str">
            <v>PA5308505</v>
          </cell>
          <cell r="C90">
            <v>89390</v>
          </cell>
          <cell r="D90">
            <v>9610</v>
          </cell>
          <cell r="E90">
            <v>99000</v>
          </cell>
          <cell r="F90">
            <v>9.6999999999999993</v>
          </cell>
          <cell r="G90">
            <v>98760</v>
          </cell>
          <cell r="H90">
            <v>88820</v>
          </cell>
          <cell r="I90">
            <v>9940</v>
          </cell>
          <cell r="J90">
            <v>10.067494638702192</v>
          </cell>
        </row>
        <row r="91">
          <cell r="B91" t="str">
            <v>PA5308506</v>
          </cell>
          <cell r="C91">
            <v>87620</v>
          </cell>
          <cell r="D91">
            <v>9960</v>
          </cell>
          <cell r="E91">
            <v>97580</v>
          </cell>
          <cell r="F91">
            <v>10.199999999999999</v>
          </cell>
          <cell r="G91">
            <v>98570</v>
          </cell>
          <cell r="H91">
            <v>88620</v>
          </cell>
          <cell r="I91">
            <v>9950</v>
          </cell>
          <cell r="J91">
            <v>10.091004704107895</v>
          </cell>
        </row>
        <row r="92">
          <cell r="B92" t="str">
            <v>PA5308507</v>
          </cell>
          <cell r="C92">
            <v>86280</v>
          </cell>
          <cell r="D92">
            <v>9740</v>
          </cell>
          <cell r="E92">
            <v>96020</v>
          </cell>
          <cell r="F92">
            <v>10.1</v>
          </cell>
          <cell r="G92">
            <v>98200</v>
          </cell>
          <cell r="H92">
            <v>88290</v>
          </cell>
          <cell r="I92">
            <v>9920</v>
          </cell>
          <cell r="J92">
            <v>10.098005129376372</v>
          </cell>
        </row>
        <row r="93">
          <cell r="B93" t="str">
            <v>PA5308508</v>
          </cell>
          <cell r="C93" t="str">
            <v/>
          </cell>
          <cell r="D93" t="str">
            <v/>
          </cell>
          <cell r="E93" t="e">
            <v>#VALUE!</v>
          </cell>
          <cell r="F93" t="str">
            <v/>
          </cell>
          <cell r="G93" t="str">
            <v/>
          </cell>
          <cell r="H93" t="str">
            <v/>
          </cell>
          <cell r="I93" t="str">
            <v/>
          </cell>
          <cell r="J93" t="str">
            <v/>
          </cell>
        </row>
        <row r="94">
          <cell r="B94" t="str">
            <v>PA5308509</v>
          </cell>
          <cell r="C94" t="str">
            <v/>
          </cell>
          <cell r="D94" t="str">
            <v/>
          </cell>
          <cell r="E94" t="e">
            <v>#VALUE!</v>
          </cell>
          <cell r="F94" t="str">
            <v/>
          </cell>
          <cell r="G94" t="str">
            <v/>
          </cell>
          <cell r="H94" t="str">
            <v/>
          </cell>
          <cell r="I94" t="str">
            <v/>
          </cell>
          <cell r="J94" t="str">
            <v/>
          </cell>
        </row>
        <row r="95">
          <cell r="B95" t="str">
            <v>PA53085010</v>
          </cell>
          <cell r="C95" t="str">
            <v/>
          </cell>
          <cell r="D95" t="str">
            <v/>
          </cell>
          <cell r="E95" t="e">
            <v>#VALUE!</v>
          </cell>
          <cell r="F95" t="str">
            <v/>
          </cell>
          <cell r="G95" t="str">
            <v/>
          </cell>
          <cell r="H95" t="str">
            <v/>
          </cell>
          <cell r="I95" t="str">
            <v/>
          </cell>
          <cell r="J95" t="str">
            <v/>
          </cell>
        </row>
        <row r="96">
          <cell r="B96" t="str">
            <v>PA53085011</v>
          </cell>
          <cell r="C96" t="str">
            <v/>
          </cell>
          <cell r="D96" t="str">
            <v/>
          </cell>
          <cell r="E96" t="e">
            <v>#VALUE!</v>
          </cell>
          <cell r="F96" t="str">
            <v/>
          </cell>
          <cell r="G96" t="str">
            <v/>
          </cell>
          <cell r="H96" t="str">
            <v/>
          </cell>
          <cell r="I96" t="str">
            <v/>
          </cell>
          <cell r="J96" t="str">
            <v/>
          </cell>
        </row>
        <row r="97">
          <cell r="B97" t="str">
            <v>PA53085012</v>
          </cell>
          <cell r="C97" t="str">
            <v/>
          </cell>
          <cell r="D97" t="str">
            <v/>
          </cell>
          <cell r="E97" t="e">
            <v>#VALUE!</v>
          </cell>
          <cell r="F97" t="str">
            <v/>
          </cell>
          <cell r="G97" t="str">
            <v/>
          </cell>
          <cell r="H97" t="str">
            <v/>
          </cell>
          <cell r="I97" t="str">
            <v/>
          </cell>
          <cell r="J97" t="str">
            <v/>
          </cell>
        </row>
        <row r="98">
          <cell r="B98" t="str">
            <v>PA5304001</v>
          </cell>
          <cell r="C98">
            <v>86580</v>
          </cell>
          <cell r="D98">
            <v>7470</v>
          </cell>
          <cell r="E98">
            <v>94050</v>
          </cell>
          <cell r="F98">
            <v>7.9</v>
          </cell>
          <cell r="G98">
            <v>94040</v>
          </cell>
          <cell r="H98">
            <v>86580</v>
          </cell>
          <cell r="I98">
            <v>7470</v>
          </cell>
          <cell r="J98">
            <v>7.9</v>
          </cell>
        </row>
        <row r="99">
          <cell r="B99" t="str">
            <v>PA5304002</v>
          </cell>
          <cell r="C99">
            <v>86900</v>
          </cell>
          <cell r="D99">
            <v>7310</v>
          </cell>
          <cell r="E99">
            <v>94210</v>
          </cell>
          <cell r="F99">
            <v>7.8</v>
          </cell>
          <cell r="G99">
            <v>94120</v>
          </cell>
          <cell r="H99">
            <v>86740</v>
          </cell>
          <cell r="I99">
            <v>7390</v>
          </cell>
          <cell r="J99">
            <v>7.8497930909921534</v>
          </cell>
        </row>
        <row r="100">
          <cell r="B100" t="str">
            <v>PA5304003</v>
          </cell>
          <cell r="C100">
            <v>88050</v>
          </cell>
          <cell r="D100">
            <v>7280</v>
          </cell>
          <cell r="E100">
            <v>95330</v>
          </cell>
          <cell r="F100">
            <v>7.6</v>
          </cell>
          <cell r="G100">
            <v>94520</v>
          </cell>
          <cell r="H100">
            <v>87170</v>
          </cell>
          <cell r="I100">
            <v>7350</v>
          </cell>
          <cell r="J100">
            <v>7.7764534125131357</v>
          </cell>
        </row>
        <row r="101">
          <cell r="B101" t="str">
            <v>PA5304004</v>
          </cell>
          <cell r="C101">
            <v>88330</v>
          </cell>
          <cell r="D101">
            <v>6490</v>
          </cell>
          <cell r="E101">
            <v>94820</v>
          </cell>
          <cell r="F101">
            <v>6.8</v>
          </cell>
          <cell r="G101">
            <v>94600</v>
          </cell>
          <cell r="H101">
            <v>87460</v>
          </cell>
          <cell r="I101">
            <v>7140</v>
          </cell>
          <cell r="J101">
            <v>7.5429314418304738</v>
          </cell>
        </row>
        <row r="102">
          <cell r="B102" t="str">
            <v>PA5304005</v>
          </cell>
          <cell r="C102">
            <v>88770</v>
          </cell>
          <cell r="D102">
            <v>6640</v>
          </cell>
          <cell r="E102">
            <v>95410</v>
          </cell>
          <cell r="F102">
            <v>7</v>
          </cell>
          <cell r="G102">
            <v>94760</v>
          </cell>
          <cell r="H102">
            <v>87720</v>
          </cell>
          <cell r="I102">
            <v>7040</v>
          </cell>
          <cell r="J102">
            <v>7.4244563622970912</v>
          </cell>
        </row>
        <row r="103">
          <cell r="B103" t="str">
            <v>PA5304006</v>
          </cell>
          <cell r="C103">
            <v>92020</v>
          </cell>
          <cell r="D103">
            <v>6940</v>
          </cell>
          <cell r="E103">
            <v>98960</v>
          </cell>
          <cell r="F103">
            <v>7</v>
          </cell>
          <cell r="G103">
            <v>95460</v>
          </cell>
          <cell r="H103">
            <v>88440</v>
          </cell>
          <cell r="I103">
            <v>7020</v>
          </cell>
          <cell r="J103">
            <v>7.3525200958174164</v>
          </cell>
        </row>
        <row r="104">
          <cell r="B104" t="str">
            <v>PA5304007</v>
          </cell>
          <cell r="C104">
            <v>90040</v>
          </cell>
          <cell r="D104">
            <v>6760</v>
          </cell>
          <cell r="E104">
            <v>96800</v>
          </cell>
          <cell r="F104">
            <v>7</v>
          </cell>
          <cell r="G104">
            <v>95650</v>
          </cell>
          <cell r="H104">
            <v>88670</v>
          </cell>
          <cell r="I104">
            <v>6980</v>
          </cell>
          <cell r="J104">
            <v>7.2994314167982219</v>
          </cell>
        </row>
        <row r="105">
          <cell r="B105" t="str">
            <v>PA5304008</v>
          </cell>
          <cell r="C105" t="str">
            <v/>
          </cell>
          <cell r="D105" t="str">
            <v/>
          </cell>
          <cell r="E105" t="e">
            <v>#VALUE!</v>
          </cell>
          <cell r="F105" t="str">
            <v/>
          </cell>
          <cell r="G105" t="str">
            <v/>
          </cell>
          <cell r="H105" t="str">
            <v/>
          </cell>
          <cell r="I105" t="str">
            <v/>
          </cell>
          <cell r="J105" t="str">
            <v/>
          </cell>
        </row>
        <row r="106">
          <cell r="B106" t="str">
            <v>PA5304009</v>
          </cell>
          <cell r="C106" t="str">
            <v/>
          </cell>
          <cell r="D106" t="str">
            <v/>
          </cell>
          <cell r="E106" t="e">
            <v>#VALUE!</v>
          </cell>
          <cell r="F106" t="str">
            <v/>
          </cell>
          <cell r="G106" t="str">
            <v/>
          </cell>
          <cell r="H106" t="str">
            <v/>
          </cell>
          <cell r="I106" t="str">
            <v/>
          </cell>
          <cell r="J106" t="str">
            <v/>
          </cell>
        </row>
        <row r="107">
          <cell r="B107" t="str">
            <v>PA53040010</v>
          </cell>
          <cell r="C107" t="str">
            <v/>
          </cell>
          <cell r="D107" t="str">
            <v/>
          </cell>
          <cell r="E107" t="e">
            <v>#VALUE!</v>
          </cell>
          <cell r="F107" t="str">
            <v/>
          </cell>
          <cell r="G107" t="str">
            <v/>
          </cell>
          <cell r="H107" t="str">
            <v/>
          </cell>
          <cell r="I107" t="str">
            <v/>
          </cell>
          <cell r="J107" t="str">
            <v/>
          </cell>
        </row>
        <row r="108">
          <cell r="B108" t="str">
            <v>PA53040011</v>
          </cell>
          <cell r="C108" t="str">
            <v/>
          </cell>
          <cell r="D108" t="str">
            <v/>
          </cell>
          <cell r="E108" t="e">
            <v>#VALUE!</v>
          </cell>
          <cell r="F108" t="str">
            <v/>
          </cell>
          <cell r="G108" t="str">
            <v/>
          </cell>
          <cell r="H108" t="str">
            <v/>
          </cell>
          <cell r="I108" t="str">
            <v/>
          </cell>
          <cell r="J108" t="str">
            <v/>
          </cell>
        </row>
        <row r="109">
          <cell r="B109" t="str">
            <v>PA53040012</v>
          </cell>
          <cell r="C109" t="str">
            <v/>
          </cell>
          <cell r="D109" t="str">
            <v/>
          </cell>
          <cell r="E109" t="e">
            <v>#VALUE!</v>
          </cell>
          <cell r="F109" t="str">
            <v/>
          </cell>
          <cell r="G109" t="str">
            <v/>
          </cell>
          <cell r="H109" t="str">
            <v/>
          </cell>
          <cell r="I109" t="str">
            <v/>
          </cell>
          <cell r="J109" t="str">
            <v/>
          </cell>
        </row>
        <row r="110">
          <cell r="B110" t="str">
            <v>PA5303001</v>
          </cell>
          <cell r="C110">
            <v>91930</v>
          </cell>
          <cell r="D110">
            <v>10760</v>
          </cell>
          <cell r="E110">
            <v>102690</v>
          </cell>
          <cell r="F110">
            <v>10.5</v>
          </cell>
          <cell r="G110">
            <v>102690</v>
          </cell>
          <cell r="H110">
            <v>91930</v>
          </cell>
          <cell r="I110">
            <v>10760</v>
          </cell>
          <cell r="J110">
            <v>10.5</v>
          </cell>
        </row>
        <row r="111">
          <cell r="B111" t="str">
            <v>PA5303002</v>
          </cell>
          <cell r="C111">
            <v>91930</v>
          </cell>
          <cell r="D111">
            <v>10990</v>
          </cell>
          <cell r="E111">
            <v>102920</v>
          </cell>
          <cell r="F111">
            <v>10.7</v>
          </cell>
          <cell r="G111">
            <v>102810</v>
          </cell>
          <cell r="H111">
            <v>91930</v>
          </cell>
          <cell r="I111">
            <v>10870</v>
          </cell>
          <cell r="J111">
            <v>10.577306551237781</v>
          </cell>
        </row>
        <row r="112">
          <cell r="B112" t="str">
            <v>PA5303003</v>
          </cell>
          <cell r="C112">
            <v>92060</v>
          </cell>
          <cell r="D112">
            <v>10940</v>
          </cell>
          <cell r="E112">
            <v>103000</v>
          </cell>
          <cell r="F112">
            <v>10.6</v>
          </cell>
          <cell r="G112">
            <v>102870</v>
          </cell>
          <cell r="H112">
            <v>91970</v>
          </cell>
          <cell r="I112">
            <v>10900</v>
          </cell>
          <cell r="J112">
            <v>10.592180943277004</v>
          </cell>
        </row>
        <row r="113">
          <cell r="B113" t="str">
            <v>PA5303004</v>
          </cell>
          <cell r="C113">
            <v>93120</v>
          </cell>
          <cell r="D113">
            <v>9530</v>
          </cell>
          <cell r="E113">
            <v>102650</v>
          </cell>
          <cell r="F113">
            <v>9.3000000000000007</v>
          </cell>
          <cell r="G113">
            <v>102810</v>
          </cell>
          <cell r="H113">
            <v>92260</v>
          </cell>
          <cell r="I113">
            <v>10550</v>
          </cell>
          <cell r="J113">
            <v>10.264677633098685</v>
          </cell>
        </row>
        <row r="114">
          <cell r="B114" t="str">
            <v>PA5303005</v>
          </cell>
          <cell r="C114">
            <v>92950</v>
          </cell>
          <cell r="D114">
            <v>9430</v>
          </cell>
          <cell r="E114">
            <v>102380</v>
          </cell>
          <cell r="F114">
            <v>9.1999999999999993</v>
          </cell>
          <cell r="G114">
            <v>102730</v>
          </cell>
          <cell r="H114">
            <v>92400</v>
          </cell>
          <cell r="I114">
            <v>10330</v>
          </cell>
          <cell r="J114">
            <v>10.054416073670993</v>
          </cell>
        </row>
        <row r="115">
          <cell r="B115" t="str">
            <v>PA5303006</v>
          </cell>
          <cell r="C115">
            <v>91610</v>
          </cell>
          <cell r="D115">
            <v>9410</v>
          </cell>
          <cell r="E115">
            <v>101020</v>
          </cell>
          <cell r="F115">
            <v>9.3000000000000007</v>
          </cell>
          <cell r="G115">
            <v>102440</v>
          </cell>
          <cell r="H115">
            <v>92270</v>
          </cell>
          <cell r="I115">
            <v>10180</v>
          </cell>
          <cell r="J115">
            <v>9.9326607543492287</v>
          </cell>
        </row>
        <row r="116">
          <cell r="B116" t="str">
            <v>PA5303007</v>
          </cell>
          <cell r="C116">
            <v>92440</v>
          </cell>
          <cell r="D116">
            <v>9110</v>
          </cell>
          <cell r="E116">
            <v>101550</v>
          </cell>
          <cell r="F116">
            <v>9</v>
          </cell>
          <cell r="G116">
            <v>102310</v>
          </cell>
          <cell r="H116">
            <v>92290</v>
          </cell>
          <cell r="I116">
            <v>10020</v>
          </cell>
          <cell r="J116">
            <v>9.7961326499125256</v>
          </cell>
        </row>
        <row r="117">
          <cell r="B117" t="str">
            <v>PA5303008</v>
          </cell>
          <cell r="C117" t="str">
            <v/>
          </cell>
          <cell r="D117" t="str">
            <v/>
          </cell>
          <cell r="E117" t="e">
            <v>#VALUE!</v>
          </cell>
          <cell r="F117" t="str">
            <v/>
          </cell>
          <cell r="G117" t="str">
            <v/>
          </cell>
          <cell r="H117" t="str">
            <v/>
          </cell>
          <cell r="I117" t="str">
            <v/>
          </cell>
          <cell r="J117" t="str">
            <v/>
          </cell>
        </row>
        <row r="118">
          <cell r="B118" t="str">
            <v>PA5303009</v>
          </cell>
          <cell r="C118" t="str">
            <v/>
          </cell>
          <cell r="D118" t="str">
            <v/>
          </cell>
          <cell r="E118" t="e">
            <v>#VALUE!</v>
          </cell>
          <cell r="F118" t="str">
            <v/>
          </cell>
          <cell r="G118" t="str">
            <v/>
          </cell>
          <cell r="H118" t="str">
            <v/>
          </cell>
          <cell r="I118" t="str">
            <v/>
          </cell>
          <cell r="J118" t="str">
            <v/>
          </cell>
        </row>
        <row r="119">
          <cell r="B119" t="str">
            <v>PA53030010</v>
          </cell>
          <cell r="C119" t="str">
            <v/>
          </cell>
          <cell r="D119" t="str">
            <v/>
          </cell>
          <cell r="E119" t="e">
            <v>#VALUE!</v>
          </cell>
          <cell r="F119" t="str">
            <v/>
          </cell>
          <cell r="G119" t="str">
            <v/>
          </cell>
          <cell r="H119" t="str">
            <v/>
          </cell>
          <cell r="I119" t="str">
            <v/>
          </cell>
          <cell r="J119" t="str">
            <v/>
          </cell>
        </row>
        <row r="120">
          <cell r="B120" t="str">
            <v>PA53030011</v>
          </cell>
          <cell r="C120" t="str">
            <v/>
          </cell>
          <cell r="D120" t="str">
            <v/>
          </cell>
          <cell r="E120" t="e">
            <v>#VALUE!</v>
          </cell>
          <cell r="F120" t="str">
            <v/>
          </cell>
          <cell r="G120" t="str">
            <v/>
          </cell>
          <cell r="H120" t="str">
            <v/>
          </cell>
          <cell r="I120" t="str">
            <v/>
          </cell>
          <cell r="J120" t="str">
            <v/>
          </cell>
        </row>
        <row r="121">
          <cell r="B121" t="str">
            <v>PA53030012</v>
          </cell>
          <cell r="C121" t="str">
            <v/>
          </cell>
          <cell r="D121" t="str">
            <v/>
          </cell>
          <cell r="E121" t="e">
            <v>#VALUE!</v>
          </cell>
          <cell r="F121" t="str">
            <v/>
          </cell>
          <cell r="G121" t="str">
            <v/>
          </cell>
          <cell r="H121" t="str">
            <v/>
          </cell>
          <cell r="I121" t="str">
            <v/>
          </cell>
          <cell r="J121" t="str">
            <v/>
          </cell>
        </row>
        <row r="122">
          <cell r="B122" t="str">
            <v>PA5302501</v>
          </cell>
          <cell r="C122">
            <v>45180</v>
          </cell>
          <cell r="D122">
            <v>5550</v>
          </cell>
          <cell r="E122">
            <v>50730</v>
          </cell>
          <cell r="F122">
            <v>10.9</v>
          </cell>
          <cell r="G122">
            <v>50730</v>
          </cell>
          <cell r="H122">
            <v>45180</v>
          </cell>
          <cell r="I122">
            <v>5550</v>
          </cell>
          <cell r="J122">
            <v>10.9</v>
          </cell>
        </row>
        <row r="123">
          <cell r="B123" t="str">
            <v>PA5302502</v>
          </cell>
          <cell r="C123">
            <v>45430</v>
          </cell>
          <cell r="D123">
            <v>5690</v>
          </cell>
          <cell r="E123">
            <v>51120</v>
          </cell>
          <cell r="F123">
            <v>11.1</v>
          </cell>
          <cell r="G123">
            <v>50930</v>
          </cell>
          <cell r="H123">
            <v>45310</v>
          </cell>
          <cell r="I123">
            <v>5620</v>
          </cell>
          <cell r="J123">
            <v>11.032891507118311</v>
          </cell>
        </row>
        <row r="124">
          <cell r="B124" t="str">
            <v>PA5302503</v>
          </cell>
          <cell r="C124">
            <v>45270</v>
          </cell>
          <cell r="D124">
            <v>5560</v>
          </cell>
          <cell r="E124">
            <v>50830</v>
          </cell>
          <cell r="F124">
            <v>10.9</v>
          </cell>
          <cell r="G124">
            <v>50890</v>
          </cell>
          <cell r="H124">
            <v>45290</v>
          </cell>
          <cell r="I124">
            <v>5600</v>
          </cell>
          <cell r="J124">
            <v>11.002240008383657</v>
          </cell>
        </row>
        <row r="125">
          <cell r="B125" t="str">
            <v>PA5302504</v>
          </cell>
          <cell r="C125">
            <v>44820</v>
          </cell>
          <cell r="D125">
            <v>5090</v>
          </cell>
          <cell r="E125">
            <v>49910</v>
          </cell>
          <cell r="F125">
            <v>10.199999999999999</v>
          </cell>
          <cell r="G125">
            <v>50650</v>
          </cell>
          <cell r="H125">
            <v>45170</v>
          </cell>
          <cell r="I125">
            <v>5470</v>
          </cell>
          <cell r="J125">
            <v>10.805781248457444</v>
          </cell>
        </row>
        <row r="126">
          <cell r="B126" t="str">
            <v>PA5302505</v>
          </cell>
          <cell r="C126">
            <v>45080</v>
          </cell>
          <cell r="D126">
            <v>5140</v>
          </cell>
          <cell r="E126">
            <v>50220</v>
          </cell>
          <cell r="F126">
            <v>10.199999999999999</v>
          </cell>
          <cell r="G126">
            <v>50560</v>
          </cell>
          <cell r="H126">
            <v>45150</v>
          </cell>
          <cell r="I126">
            <v>5410</v>
          </cell>
          <cell r="J126">
            <v>10.692911080960272</v>
          </cell>
        </row>
        <row r="127">
          <cell r="B127" t="str">
            <v>PA5302506</v>
          </cell>
          <cell r="C127">
            <v>45040</v>
          </cell>
          <cell r="D127">
            <v>5590</v>
          </cell>
          <cell r="E127">
            <v>50630</v>
          </cell>
          <cell r="F127">
            <v>11</v>
          </cell>
          <cell r="G127">
            <v>50570</v>
          </cell>
          <cell r="H127">
            <v>45140</v>
          </cell>
          <cell r="I127">
            <v>5440</v>
          </cell>
          <cell r="J127">
            <v>10.749725637789151</v>
          </cell>
        </row>
        <row r="128">
          <cell r="B128" t="str">
            <v>PA5302507</v>
          </cell>
          <cell r="C128">
            <v>45010</v>
          </cell>
          <cell r="D128">
            <v>5550</v>
          </cell>
          <cell r="E128">
            <v>50560</v>
          </cell>
          <cell r="F128">
            <v>11</v>
          </cell>
          <cell r="G128">
            <v>50570</v>
          </cell>
          <cell r="H128">
            <v>45120</v>
          </cell>
          <cell r="I128">
            <v>5450</v>
          </cell>
          <cell r="J128">
            <v>10.781530290831531</v>
          </cell>
        </row>
        <row r="129">
          <cell r="B129" t="str">
            <v>PA5302508</v>
          </cell>
          <cell r="C129" t="str">
            <v/>
          </cell>
          <cell r="D129" t="str">
            <v/>
          </cell>
          <cell r="E129" t="e">
            <v>#VALUE!</v>
          </cell>
          <cell r="F129" t="str">
            <v/>
          </cell>
          <cell r="G129" t="str">
            <v/>
          </cell>
          <cell r="H129" t="str">
            <v/>
          </cell>
          <cell r="I129" t="str">
            <v/>
          </cell>
          <cell r="J129" t="str">
            <v/>
          </cell>
        </row>
        <row r="130">
          <cell r="B130" t="str">
            <v>PA5302509</v>
          </cell>
          <cell r="C130" t="str">
            <v/>
          </cell>
          <cell r="D130" t="str">
            <v/>
          </cell>
          <cell r="E130" t="e">
            <v>#VALUE!</v>
          </cell>
          <cell r="F130" t="str">
            <v/>
          </cell>
          <cell r="G130" t="str">
            <v/>
          </cell>
          <cell r="H130" t="str">
            <v/>
          </cell>
          <cell r="I130" t="str">
            <v/>
          </cell>
          <cell r="J130" t="str">
            <v/>
          </cell>
        </row>
        <row r="131">
          <cell r="B131" t="str">
            <v>PA53025010</v>
          </cell>
          <cell r="C131" t="str">
            <v/>
          </cell>
          <cell r="D131" t="str">
            <v/>
          </cell>
          <cell r="E131" t="e">
            <v>#VALUE!</v>
          </cell>
          <cell r="F131" t="str">
            <v/>
          </cell>
          <cell r="G131" t="str">
            <v/>
          </cell>
          <cell r="H131" t="str">
            <v/>
          </cell>
          <cell r="I131" t="str">
            <v/>
          </cell>
          <cell r="J131" t="str">
            <v/>
          </cell>
        </row>
        <row r="132">
          <cell r="B132" t="str">
            <v>PA53025011</v>
          </cell>
          <cell r="C132" t="str">
            <v/>
          </cell>
          <cell r="D132" t="str">
            <v/>
          </cell>
          <cell r="E132" t="e">
            <v>#VALUE!</v>
          </cell>
          <cell r="F132" t="str">
            <v/>
          </cell>
          <cell r="G132" t="str">
            <v/>
          </cell>
          <cell r="H132" t="str">
            <v/>
          </cell>
          <cell r="I132" t="str">
            <v/>
          </cell>
          <cell r="J132" t="str">
            <v/>
          </cell>
        </row>
        <row r="133">
          <cell r="B133" t="str">
            <v>PA53025012</v>
          </cell>
          <cell r="C133" t="str">
            <v/>
          </cell>
          <cell r="D133" t="str">
            <v/>
          </cell>
          <cell r="E133" t="e">
            <v>#VALUE!</v>
          </cell>
          <cell r="F133" t="str">
            <v/>
          </cell>
          <cell r="G133" t="str">
            <v/>
          </cell>
          <cell r="H133" t="str">
            <v/>
          </cell>
          <cell r="I133" t="str">
            <v/>
          </cell>
          <cell r="J133" t="str">
            <v/>
          </cell>
        </row>
        <row r="134">
          <cell r="B134" t="str">
            <v>PA5302001</v>
          </cell>
          <cell r="C134">
            <v>65320</v>
          </cell>
          <cell r="D134">
            <v>4920</v>
          </cell>
          <cell r="E134">
            <v>70240</v>
          </cell>
          <cell r="F134">
            <v>7</v>
          </cell>
          <cell r="G134">
            <v>70240</v>
          </cell>
          <cell r="H134">
            <v>65320</v>
          </cell>
          <cell r="I134">
            <v>4920</v>
          </cell>
          <cell r="J134">
            <v>7</v>
          </cell>
        </row>
        <row r="135">
          <cell r="B135" t="str">
            <v>PA5302002</v>
          </cell>
          <cell r="C135">
            <v>65690</v>
          </cell>
          <cell r="D135">
            <v>5190</v>
          </cell>
          <cell r="E135">
            <v>70880</v>
          </cell>
          <cell r="F135">
            <v>7.3</v>
          </cell>
          <cell r="G135">
            <v>70560</v>
          </cell>
          <cell r="H135">
            <v>65510</v>
          </cell>
          <cell r="I135">
            <v>5060</v>
          </cell>
          <cell r="J135">
            <v>7.1641156462585034</v>
          </cell>
        </row>
        <row r="136">
          <cell r="B136" t="str">
            <v>PA5302003</v>
          </cell>
          <cell r="C136">
            <v>65450</v>
          </cell>
          <cell r="D136">
            <v>5060</v>
          </cell>
          <cell r="E136">
            <v>70510</v>
          </cell>
          <cell r="F136">
            <v>7.2</v>
          </cell>
          <cell r="G136">
            <v>70540</v>
          </cell>
          <cell r="H136">
            <v>65490</v>
          </cell>
          <cell r="I136">
            <v>5060</v>
          </cell>
          <cell r="J136">
            <v>7.1669564888670472</v>
          </cell>
        </row>
        <row r="137">
          <cell r="B137" t="str">
            <v>PA5302004</v>
          </cell>
          <cell r="C137">
            <v>64790</v>
          </cell>
          <cell r="D137">
            <v>4530</v>
          </cell>
          <cell r="E137">
            <v>69320</v>
          </cell>
          <cell r="F137">
            <v>6.5</v>
          </cell>
          <cell r="G137">
            <v>70240</v>
          </cell>
          <cell r="H137">
            <v>65310</v>
          </cell>
          <cell r="I137">
            <v>4930</v>
          </cell>
          <cell r="J137">
            <v>7.0118988720453039</v>
          </cell>
        </row>
        <row r="138">
          <cell r="B138" t="str">
            <v>PA5302005</v>
          </cell>
          <cell r="C138">
            <v>65170</v>
          </cell>
          <cell r="D138">
            <v>4580</v>
          </cell>
          <cell r="E138">
            <v>69750</v>
          </cell>
          <cell r="F138">
            <v>6.6</v>
          </cell>
          <cell r="G138">
            <v>70140</v>
          </cell>
          <cell r="H138">
            <v>65280</v>
          </cell>
          <cell r="I138">
            <v>4860</v>
          </cell>
          <cell r="J138">
            <v>6.924033235815755</v>
          </cell>
        </row>
        <row r="139">
          <cell r="B139" t="str">
            <v>PA5302006</v>
          </cell>
          <cell r="C139">
            <v>65120</v>
          </cell>
          <cell r="D139">
            <v>5240</v>
          </cell>
          <cell r="E139">
            <v>70360</v>
          </cell>
          <cell r="F139">
            <v>7.4</v>
          </cell>
          <cell r="G139">
            <v>70180</v>
          </cell>
          <cell r="H139">
            <v>65260</v>
          </cell>
          <cell r="I139">
            <v>4920</v>
          </cell>
          <cell r="J139">
            <v>7.0116607689932806</v>
          </cell>
        </row>
        <row r="140">
          <cell r="B140" t="str">
            <v>PA5302007</v>
          </cell>
          <cell r="C140">
            <v>65070</v>
          </cell>
          <cell r="D140">
            <v>5120</v>
          </cell>
          <cell r="E140">
            <v>70190</v>
          </cell>
          <cell r="F140">
            <v>7.3</v>
          </cell>
          <cell r="G140">
            <v>70180</v>
          </cell>
          <cell r="H140">
            <v>65230</v>
          </cell>
          <cell r="I140">
            <v>4950</v>
          </cell>
          <cell r="J140">
            <v>7.051473866127643</v>
          </cell>
        </row>
        <row r="141">
          <cell r="B141" t="str">
            <v>PA5302008</v>
          </cell>
          <cell r="C141" t="str">
            <v/>
          </cell>
          <cell r="D141" t="str">
            <v/>
          </cell>
          <cell r="E141" t="e">
            <v>#VALUE!</v>
          </cell>
          <cell r="F141" t="str">
            <v/>
          </cell>
          <cell r="G141" t="str">
            <v/>
          </cell>
          <cell r="H141" t="str">
            <v/>
          </cell>
          <cell r="I141" t="str">
            <v/>
          </cell>
          <cell r="J141" t="str">
            <v/>
          </cell>
        </row>
        <row r="142">
          <cell r="B142" t="str">
            <v>PA5302009</v>
          </cell>
          <cell r="C142" t="str">
            <v/>
          </cell>
          <cell r="D142" t="str">
            <v/>
          </cell>
          <cell r="E142" t="e">
            <v>#VALUE!</v>
          </cell>
          <cell r="F142" t="str">
            <v/>
          </cell>
          <cell r="G142" t="str">
            <v/>
          </cell>
          <cell r="H142" t="str">
            <v/>
          </cell>
          <cell r="I142" t="str">
            <v/>
          </cell>
          <cell r="J142" t="str">
            <v/>
          </cell>
        </row>
        <row r="143">
          <cell r="B143" t="str">
            <v>PA53020010</v>
          </cell>
          <cell r="C143" t="str">
            <v/>
          </cell>
          <cell r="D143" t="str">
            <v/>
          </cell>
          <cell r="E143" t="e">
            <v>#VALUE!</v>
          </cell>
          <cell r="F143" t="str">
            <v/>
          </cell>
          <cell r="G143" t="str">
            <v/>
          </cell>
          <cell r="H143" t="str">
            <v/>
          </cell>
          <cell r="I143" t="str">
            <v/>
          </cell>
          <cell r="J143" t="str">
            <v/>
          </cell>
        </row>
        <row r="144">
          <cell r="B144" t="str">
            <v>PA53020011</v>
          </cell>
          <cell r="C144" t="str">
            <v/>
          </cell>
          <cell r="D144" t="str">
            <v/>
          </cell>
          <cell r="E144" t="e">
            <v>#VALUE!</v>
          </cell>
          <cell r="F144" t="str">
            <v/>
          </cell>
          <cell r="G144" t="str">
            <v/>
          </cell>
          <cell r="H144" t="str">
            <v/>
          </cell>
          <cell r="I144" t="str">
            <v/>
          </cell>
          <cell r="J144" t="str">
            <v/>
          </cell>
        </row>
        <row r="145">
          <cell r="B145" t="str">
            <v>PA53020012</v>
          </cell>
          <cell r="C145" t="str">
            <v/>
          </cell>
          <cell r="D145" t="str">
            <v/>
          </cell>
          <cell r="E145" t="e">
            <v>#VALUE!</v>
          </cell>
          <cell r="F145" t="str">
            <v/>
          </cell>
          <cell r="G145" t="str">
            <v/>
          </cell>
          <cell r="H145" t="str">
            <v/>
          </cell>
          <cell r="I145" t="str">
            <v/>
          </cell>
          <cell r="J145" t="str">
            <v/>
          </cell>
        </row>
        <row r="146">
          <cell r="B146" t="str">
            <v>PA5300501</v>
          </cell>
          <cell r="C146">
            <v>346450</v>
          </cell>
          <cell r="D146">
            <v>29540</v>
          </cell>
          <cell r="E146">
            <v>375990</v>
          </cell>
          <cell r="F146">
            <v>7.9</v>
          </cell>
          <cell r="G146">
            <v>375990</v>
          </cell>
          <cell r="H146">
            <v>346450</v>
          </cell>
          <cell r="I146">
            <v>29540</v>
          </cell>
          <cell r="J146">
            <v>7.9</v>
          </cell>
        </row>
        <row r="147">
          <cell r="B147" t="str">
            <v>PA5300502</v>
          </cell>
          <cell r="C147">
            <v>348390</v>
          </cell>
          <cell r="D147">
            <v>30280</v>
          </cell>
          <cell r="E147">
            <v>378670</v>
          </cell>
          <cell r="F147">
            <v>8</v>
          </cell>
          <cell r="G147">
            <v>377330</v>
          </cell>
          <cell r="H147">
            <v>347420</v>
          </cell>
          <cell r="I147">
            <v>29910</v>
          </cell>
          <cell r="J147">
            <v>7.9270344977459999</v>
          </cell>
        </row>
        <row r="148">
          <cell r="B148" t="str">
            <v>PA5300503</v>
          </cell>
          <cell r="C148">
            <v>347110</v>
          </cell>
          <cell r="D148">
            <v>29280</v>
          </cell>
          <cell r="E148">
            <v>376390</v>
          </cell>
          <cell r="F148">
            <v>7.8</v>
          </cell>
          <cell r="G148">
            <v>377020</v>
          </cell>
          <cell r="H148">
            <v>347320</v>
          </cell>
          <cell r="I148">
            <v>29700</v>
          </cell>
          <cell r="J148">
            <v>7.8780709269520122</v>
          </cell>
        </row>
        <row r="149">
          <cell r="B149" t="str">
            <v>PA5300504</v>
          </cell>
          <cell r="C149">
            <v>343650</v>
          </cell>
          <cell r="D149">
            <v>27300</v>
          </cell>
          <cell r="E149">
            <v>370950</v>
          </cell>
          <cell r="F149">
            <v>7.4</v>
          </cell>
          <cell r="G149">
            <v>375500</v>
          </cell>
          <cell r="H149">
            <v>346400</v>
          </cell>
          <cell r="I149">
            <v>29100</v>
          </cell>
          <cell r="J149">
            <v>7.7501997336884152</v>
          </cell>
        </row>
        <row r="150">
          <cell r="B150" t="str">
            <v>PA5300505</v>
          </cell>
          <cell r="C150">
            <v>345650</v>
          </cell>
          <cell r="D150">
            <v>27330</v>
          </cell>
          <cell r="E150">
            <v>372980</v>
          </cell>
          <cell r="F150">
            <v>7.3</v>
          </cell>
          <cell r="G150">
            <v>375000</v>
          </cell>
          <cell r="H150">
            <v>346250</v>
          </cell>
          <cell r="I150">
            <v>28750</v>
          </cell>
          <cell r="J150">
            <v>7.6660469273838361</v>
          </cell>
        </row>
        <row r="151">
          <cell r="B151" t="str">
            <v>PA5300506</v>
          </cell>
          <cell r="C151">
            <v>345390</v>
          </cell>
          <cell r="D151">
            <v>30830</v>
          </cell>
          <cell r="E151">
            <v>376220</v>
          </cell>
          <cell r="F151">
            <v>8.1999999999999993</v>
          </cell>
          <cell r="G151">
            <v>375200</v>
          </cell>
          <cell r="H151">
            <v>346110</v>
          </cell>
          <cell r="I151">
            <v>29090</v>
          </cell>
          <cell r="J151">
            <v>7.7541824397498571</v>
          </cell>
        </row>
        <row r="152">
          <cell r="B152" t="str">
            <v>PA5300507</v>
          </cell>
          <cell r="C152">
            <v>345120</v>
          </cell>
          <cell r="D152">
            <v>30010</v>
          </cell>
          <cell r="E152">
            <v>375130</v>
          </cell>
          <cell r="F152">
            <v>8</v>
          </cell>
          <cell r="G152">
            <v>375190</v>
          </cell>
          <cell r="H152">
            <v>345970</v>
          </cell>
          <cell r="I152">
            <v>29220</v>
          </cell>
          <cell r="J152">
            <v>7.7891350080435586</v>
          </cell>
        </row>
        <row r="153">
          <cell r="B153" t="str">
            <v>PA5300508</v>
          </cell>
          <cell r="C153" t="str">
            <v/>
          </cell>
          <cell r="D153" t="str">
            <v/>
          </cell>
          <cell r="E153" t="e">
            <v>#VALUE!</v>
          </cell>
          <cell r="F153" t="str">
            <v/>
          </cell>
          <cell r="G153" t="str">
            <v/>
          </cell>
          <cell r="H153" t="str">
            <v/>
          </cell>
          <cell r="I153" t="str">
            <v/>
          </cell>
          <cell r="J153" t="str">
            <v/>
          </cell>
        </row>
        <row r="154">
          <cell r="B154" t="str">
            <v>PA5300509</v>
          </cell>
          <cell r="C154" t="str">
            <v/>
          </cell>
          <cell r="D154" t="str">
            <v/>
          </cell>
          <cell r="E154" t="e">
            <v>#VALUE!</v>
          </cell>
          <cell r="F154" t="str">
            <v/>
          </cell>
          <cell r="G154" t="str">
            <v/>
          </cell>
          <cell r="H154" t="str">
            <v/>
          </cell>
          <cell r="I154" t="str">
            <v/>
          </cell>
          <cell r="J154" t="str">
            <v/>
          </cell>
        </row>
        <row r="155">
          <cell r="B155" t="str">
            <v>PA53005010</v>
          </cell>
          <cell r="C155" t="str">
            <v/>
          </cell>
          <cell r="D155" t="str">
            <v/>
          </cell>
          <cell r="E155" t="e">
            <v>#VALUE!</v>
          </cell>
          <cell r="F155" t="str">
            <v/>
          </cell>
          <cell r="G155" t="str">
            <v/>
          </cell>
          <cell r="H155" t="str">
            <v/>
          </cell>
          <cell r="I155" t="str">
            <v/>
          </cell>
          <cell r="J155" t="str">
            <v/>
          </cell>
        </row>
        <row r="156">
          <cell r="B156" t="str">
            <v>PA53005011</v>
          </cell>
          <cell r="C156" t="str">
            <v/>
          </cell>
          <cell r="D156" t="str">
            <v/>
          </cell>
          <cell r="E156" t="e">
            <v>#VALUE!</v>
          </cell>
          <cell r="F156" t="str">
            <v/>
          </cell>
          <cell r="G156" t="str">
            <v/>
          </cell>
          <cell r="H156" t="str">
            <v/>
          </cell>
          <cell r="I156" t="str">
            <v/>
          </cell>
          <cell r="J156" t="str">
            <v/>
          </cell>
        </row>
        <row r="157">
          <cell r="B157" t="str">
            <v>PA53005012</v>
          </cell>
          <cell r="C157" t="str">
            <v/>
          </cell>
          <cell r="D157" t="str">
            <v/>
          </cell>
          <cell r="E157" t="e">
            <v>#VALUE!</v>
          </cell>
          <cell r="F157" t="str">
            <v/>
          </cell>
          <cell r="G157" t="str">
            <v/>
          </cell>
          <cell r="H157" t="str">
            <v/>
          </cell>
          <cell r="I157" t="str">
            <v/>
          </cell>
          <cell r="J157" t="str">
            <v/>
          </cell>
        </row>
        <row r="158">
          <cell r="B158" t="str">
            <v>MT5349421</v>
          </cell>
          <cell r="C158">
            <v>106630</v>
          </cell>
          <cell r="D158">
            <v>13940</v>
          </cell>
          <cell r="E158">
            <v>120570</v>
          </cell>
          <cell r="F158">
            <v>11.6</v>
          </cell>
          <cell r="G158">
            <v>120580</v>
          </cell>
          <cell r="H158">
            <v>106630</v>
          </cell>
          <cell r="I158">
            <v>13940</v>
          </cell>
          <cell r="J158">
            <v>11.6</v>
          </cell>
        </row>
        <row r="159">
          <cell r="B159" t="str">
            <v>MT5349422</v>
          </cell>
          <cell r="C159">
            <v>107820</v>
          </cell>
          <cell r="D159">
            <v>13490</v>
          </cell>
          <cell r="E159">
            <v>121310</v>
          </cell>
          <cell r="F159">
            <v>11.1</v>
          </cell>
          <cell r="G159">
            <v>120940</v>
          </cell>
          <cell r="H159">
            <v>107220</v>
          </cell>
          <cell r="I159">
            <v>13720</v>
          </cell>
          <cell r="J159">
            <v>11.34111401887705</v>
          </cell>
        </row>
        <row r="160">
          <cell r="B160" t="str">
            <v>MT5349423</v>
          </cell>
          <cell r="C160">
            <v>107810</v>
          </cell>
          <cell r="D160">
            <v>12980</v>
          </cell>
          <cell r="E160">
            <v>120790</v>
          </cell>
          <cell r="F160">
            <v>10.7</v>
          </cell>
          <cell r="G160">
            <v>120890</v>
          </cell>
          <cell r="H160">
            <v>107420</v>
          </cell>
          <cell r="I160">
            <v>13470</v>
          </cell>
          <cell r="J160">
            <v>11.141840080073015</v>
          </cell>
        </row>
        <row r="161">
          <cell r="B161" t="str">
            <v>MT5349424</v>
          </cell>
          <cell r="C161">
            <v>107510</v>
          </cell>
          <cell r="D161">
            <v>12010</v>
          </cell>
          <cell r="E161">
            <v>119520</v>
          </cell>
          <cell r="F161">
            <v>10.1</v>
          </cell>
          <cell r="G161">
            <v>120550</v>
          </cell>
          <cell r="H161">
            <v>107440</v>
          </cell>
          <cell r="I161">
            <v>13110</v>
          </cell>
          <cell r="J161">
            <v>10.871278422523995</v>
          </cell>
        </row>
        <row r="162">
          <cell r="B162" t="str">
            <v>MT5349425</v>
          </cell>
          <cell r="C162">
            <v>108950</v>
          </cell>
          <cell r="D162">
            <v>11990</v>
          </cell>
          <cell r="E162">
            <v>120940</v>
          </cell>
          <cell r="F162">
            <v>9.9</v>
          </cell>
          <cell r="G162">
            <v>120630</v>
          </cell>
          <cell r="H162">
            <v>107740</v>
          </cell>
          <cell r="I162">
            <v>12880</v>
          </cell>
          <cell r="J162">
            <v>10.679378238341968</v>
          </cell>
        </row>
        <row r="163">
          <cell r="B163" t="str">
            <v>MT5349426</v>
          </cell>
          <cell r="C163">
            <v>115610</v>
          </cell>
          <cell r="D163">
            <v>12420</v>
          </cell>
          <cell r="E163">
            <v>128030</v>
          </cell>
          <cell r="F163">
            <v>9.6999999999999993</v>
          </cell>
          <cell r="G163">
            <v>121860</v>
          </cell>
          <cell r="H163">
            <v>109050</v>
          </cell>
          <cell r="I163">
            <v>12800</v>
          </cell>
          <cell r="J163">
            <v>10.507376705012494</v>
          </cell>
        </row>
        <row r="164">
          <cell r="B164" t="str">
            <v>MT5349427</v>
          </cell>
          <cell r="C164">
            <v>120460</v>
          </cell>
          <cell r="D164">
            <v>11540</v>
          </cell>
          <cell r="E164">
            <v>132000</v>
          </cell>
          <cell r="F164">
            <v>8.6999999999999993</v>
          </cell>
          <cell r="G164">
            <v>123310</v>
          </cell>
          <cell r="H164">
            <v>110680</v>
          </cell>
          <cell r="I164">
            <v>12620</v>
          </cell>
          <cell r="J164">
            <v>10.237062473642991</v>
          </cell>
        </row>
        <row r="165">
          <cell r="B165" t="str">
            <v>MT5349428</v>
          </cell>
          <cell r="C165" t="str">
            <v/>
          </cell>
          <cell r="D165" t="str">
            <v/>
          </cell>
          <cell r="E165" t="e">
            <v>#VALUE!</v>
          </cell>
          <cell r="F165" t="str">
            <v/>
          </cell>
          <cell r="G165" t="str">
            <v/>
          </cell>
          <cell r="H165" t="str">
            <v/>
          </cell>
          <cell r="I165" t="str">
            <v/>
          </cell>
          <cell r="J165" t="str">
            <v/>
          </cell>
        </row>
        <row r="166">
          <cell r="B166" t="str">
            <v>MT5349429</v>
          </cell>
          <cell r="C166" t="str">
            <v/>
          </cell>
          <cell r="D166" t="str">
            <v/>
          </cell>
          <cell r="E166" t="e">
            <v>#VALUE!</v>
          </cell>
          <cell r="F166" t="str">
            <v/>
          </cell>
          <cell r="G166" t="str">
            <v/>
          </cell>
          <cell r="H166" t="str">
            <v/>
          </cell>
          <cell r="I166" t="str">
            <v/>
          </cell>
          <cell r="J166" t="str">
            <v/>
          </cell>
        </row>
        <row r="167">
          <cell r="B167" t="str">
            <v>MT53494210</v>
          </cell>
          <cell r="C167" t="str">
            <v/>
          </cell>
          <cell r="D167" t="str">
            <v/>
          </cell>
          <cell r="E167" t="e">
            <v>#VALUE!</v>
          </cell>
          <cell r="F167" t="str">
            <v/>
          </cell>
          <cell r="G167" t="str">
            <v/>
          </cell>
          <cell r="H167" t="str">
            <v/>
          </cell>
          <cell r="I167" t="str">
            <v/>
          </cell>
          <cell r="J167" t="str">
            <v/>
          </cell>
        </row>
        <row r="168">
          <cell r="B168" t="str">
            <v>MT53494211</v>
          </cell>
          <cell r="C168" t="str">
            <v/>
          </cell>
          <cell r="D168" t="str">
            <v/>
          </cell>
          <cell r="E168" t="e">
            <v>#VALUE!</v>
          </cell>
          <cell r="F168" t="str">
            <v/>
          </cell>
          <cell r="G168" t="str">
            <v/>
          </cell>
          <cell r="H168" t="str">
            <v/>
          </cell>
          <cell r="I168" t="str">
            <v/>
          </cell>
          <cell r="J168" t="str">
            <v/>
          </cell>
        </row>
        <row r="169">
          <cell r="B169" t="str">
            <v>MT53494212</v>
          </cell>
          <cell r="C169" t="str">
            <v/>
          </cell>
          <cell r="D169" t="str">
            <v/>
          </cell>
          <cell r="E169" t="e">
            <v>#VALUE!</v>
          </cell>
          <cell r="F169" t="str">
            <v/>
          </cell>
          <cell r="G169" t="str">
            <v/>
          </cell>
          <cell r="H169" t="str">
            <v/>
          </cell>
          <cell r="I169" t="str">
            <v/>
          </cell>
          <cell r="J169" t="str">
            <v/>
          </cell>
        </row>
        <row r="170">
          <cell r="B170" t="str">
            <v>MT5348301</v>
          </cell>
          <cell r="C170">
            <v>54070</v>
          </cell>
          <cell r="D170">
            <v>5930</v>
          </cell>
          <cell r="E170">
            <v>60000</v>
          </cell>
          <cell r="F170">
            <v>9.9</v>
          </cell>
          <cell r="G170">
            <v>59990</v>
          </cell>
          <cell r="H170">
            <v>54070</v>
          </cell>
          <cell r="I170">
            <v>5930</v>
          </cell>
          <cell r="J170">
            <v>9.9</v>
          </cell>
        </row>
        <row r="171">
          <cell r="B171" t="str">
            <v>MT5348302</v>
          </cell>
          <cell r="C171">
            <v>54620</v>
          </cell>
          <cell r="D171">
            <v>5870</v>
          </cell>
          <cell r="E171">
            <v>60490</v>
          </cell>
          <cell r="F171">
            <v>9.6999999999999993</v>
          </cell>
          <cell r="G171">
            <v>60240</v>
          </cell>
          <cell r="H171">
            <v>54350</v>
          </cell>
          <cell r="I171">
            <v>5900</v>
          </cell>
          <cell r="J171">
            <v>9.7896003651906867</v>
          </cell>
        </row>
        <row r="172">
          <cell r="B172" t="str">
            <v>MT5348303</v>
          </cell>
          <cell r="C172">
            <v>55340</v>
          </cell>
          <cell r="D172">
            <v>5740</v>
          </cell>
          <cell r="E172">
            <v>61080</v>
          </cell>
          <cell r="F172">
            <v>9.4</v>
          </cell>
          <cell r="G172">
            <v>60520</v>
          </cell>
          <cell r="H172">
            <v>54680</v>
          </cell>
          <cell r="I172">
            <v>5850</v>
          </cell>
          <cell r="J172">
            <v>9.6597418047232981</v>
          </cell>
        </row>
        <row r="173">
          <cell r="B173" t="str">
            <v>MT5348304</v>
          </cell>
          <cell r="C173">
            <v>54260</v>
          </cell>
          <cell r="D173">
            <v>5110</v>
          </cell>
          <cell r="E173">
            <v>59370</v>
          </cell>
          <cell r="F173">
            <v>8.6</v>
          </cell>
          <cell r="G173">
            <v>60230</v>
          </cell>
          <cell r="H173">
            <v>54570</v>
          </cell>
          <cell r="I173">
            <v>5660</v>
          </cell>
          <cell r="J173">
            <v>9.4008757548716453</v>
          </cell>
        </row>
        <row r="174">
          <cell r="B174" t="str">
            <v>MT5348305</v>
          </cell>
          <cell r="C174">
            <v>55030</v>
          </cell>
          <cell r="D174">
            <v>5150</v>
          </cell>
          <cell r="E174">
            <v>60180</v>
          </cell>
          <cell r="F174">
            <v>8.6</v>
          </cell>
          <cell r="G174">
            <v>60220</v>
          </cell>
          <cell r="H174">
            <v>54660</v>
          </cell>
          <cell r="I174">
            <v>5560</v>
          </cell>
          <cell r="J174">
            <v>9.2325625417193855</v>
          </cell>
        </row>
        <row r="175">
          <cell r="B175" t="str">
            <v>MT5348306</v>
          </cell>
          <cell r="C175">
            <v>62910</v>
          </cell>
          <cell r="D175">
            <v>5040</v>
          </cell>
          <cell r="E175">
            <v>67950</v>
          </cell>
          <cell r="F175">
            <v>7.4</v>
          </cell>
          <cell r="G175">
            <v>61510</v>
          </cell>
          <cell r="H175">
            <v>56040</v>
          </cell>
          <cell r="I175">
            <v>5470</v>
          </cell>
          <cell r="J175">
            <v>8.8991007150385695</v>
          </cell>
        </row>
        <row r="176">
          <cell r="B176" t="str">
            <v>MT5348307</v>
          </cell>
          <cell r="C176">
            <v>69900</v>
          </cell>
          <cell r="D176">
            <v>4620</v>
          </cell>
          <cell r="E176">
            <v>74520</v>
          </cell>
          <cell r="F176">
            <v>6.2</v>
          </cell>
          <cell r="G176">
            <v>63370</v>
          </cell>
          <cell r="H176">
            <v>58020</v>
          </cell>
          <cell r="I176">
            <v>5350</v>
          </cell>
          <cell r="J176">
            <v>8.4446428289632394</v>
          </cell>
        </row>
        <row r="177">
          <cell r="B177" t="str">
            <v>MT5348308</v>
          </cell>
          <cell r="C177" t="str">
            <v/>
          </cell>
          <cell r="D177" t="str">
            <v/>
          </cell>
          <cell r="E177" t="e">
            <v>#VALUE!</v>
          </cell>
          <cell r="F177" t="str">
            <v/>
          </cell>
          <cell r="G177" t="str">
            <v/>
          </cell>
          <cell r="H177" t="str">
            <v/>
          </cell>
          <cell r="I177" t="str">
            <v/>
          </cell>
          <cell r="J177" t="str">
            <v/>
          </cell>
        </row>
        <row r="178">
          <cell r="B178" t="str">
            <v>MT5348309</v>
          </cell>
          <cell r="C178" t="str">
            <v/>
          </cell>
          <cell r="D178" t="str">
            <v/>
          </cell>
          <cell r="E178" t="e">
            <v>#VALUE!</v>
          </cell>
          <cell r="F178" t="str">
            <v/>
          </cell>
          <cell r="G178" t="str">
            <v/>
          </cell>
          <cell r="H178" t="str">
            <v/>
          </cell>
          <cell r="I178" t="str">
            <v/>
          </cell>
          <cell r="J178" t="str">
            <v/>
          </cell>
        </row>
        <row r="179">
          <cell r="B179" t="str">
            <v>MT53483010</v>
          </cell>
          <cell r="C179" t="str">
            <v/>
          </cell>
          <cell r="D179" t="str">
            <v/>
          </cell>
          <cell r="E179" t="e">
            <v>#VALUE!</v>
          </cell>
          <cell r="F179" t="str">
            <v/>
          </cell>
          <cell r="G179" t="str">
            <v/>
          </cell>
          <cell r="H179" t="str">
            <v/>
          </cell>
          <cell r="I179" t="str">
            <v/>
          </cell>
          <cell r="J179" t="str">
            <v/>
          </cell>
        </row>
        <row r="180">
          <cell r="B180" t="str">
            <v>MT53483011</v>
          </cell>
          <cell r="C180" t="str">
            <v/>
          </cell>
          <cell r="D180" t="str">
            <v/>
          </cell>
          <cell r="E180" t="e">
            <v>#VALUE!</v>
          </cell>
          <cell r="F180" t="str">
            <v/>
          </cell>
          <cell r="G180" t="str">
            <v/>
          </cell>
          <cell r="H180" t="str">
            <v/>
          </cell>
          <cell r="I180" t="str">
            <v/>
          </cell>
          <cell r="J180" t="str">
            <v/>
          </cell>
        </row>
        <row r="181">
          <cell r="B181" t="str">
            <v>MT53483012</v>
          </cell>
          <cell r="C181" t="str">
            <v/>
          </cell>
          <cell r="D181" t="str">
            <v/>
          </cell>
          <cell r="E181" t="e">
            <v>#VALUE!</v>
          </cell>
          <cell r="F181" t="str">
            <v/>
          </cell>
          <cell r="G181" t="str">
            <v/>
          </cell>
          <cell r="H181" t="str">
            <v/>
          </cell>
          <cell r="I181" t="str">
            <v/>
          </cell>
          <cell r="J181" t="str">
            <v/>
          </cell>
        </row>
        <row r="182">
          <cell r="B182" t="str">
            <v>MT5344061</v>
          </cell>
          <cell r="C182">
            <v>212870</v>
          </cell>
          <cell r="D182">
            <v>24450</v>
          </cell>
          <cell r="E182">
            <v>237320</v>
          </cell>
          <cell r="F182">
            <v>10.3</v>
          </cell>
          <cell r="G182">
            <v>237320</v>
          </cell>
          <cell r="H182">
            <v>212870</v>
          </cell>
          <cell r="I182">
            <v>24450</v>
          </cell>
          <cell r="J182">
            <v>10.3</v>
          </cell>
        </row>
        <row r="183">
          <cell r="B183" t="str">
            <v>MT5344062</v>
          </cell>
          <cell r="C183">
            <v>212890</v>
          </cell>
          <cell r="D183">
            <v>24700</v>
          </cell>
          <cell r="E183">
            <v>237590</v>
          </cell>
          <cell r="F183">
            <v>10.4</v>
          </cell>
          <cell r="G183">
            <v>237450</v>
          </cell>
          <cell r="H183">
            <v>212880</v>
          </cell>
          <cell r="I183">
            <v>24570</v>
          </cell>
          <cell r="J183">
            <v>10.348341885885027</v>
          </cell>
        </row>
        <row r="184">
          <cell r="B184" t="str">
            <v>MT5344063</v>
          </cell>
          <cell r="C184">
            <v>213170</v>
          </cell>
          <cell r="D184">
            <v>24520</v>
          </cell>
          <cell r="E184">
            <v>237690</v>
          </cell>
          <cell r="F184">
            <v>10.3</v>
          </cell>
          <cell r="G184">
            <v>237530</v>
          </cell>
          <cell r="H184">
            <v>212980</v>
          </cell>
          <cell r="I184">
            <v>24560</v>
          </cell>
          <cell r="J184">
            <v>10.337694850939382</v>
          </cell>
        </row>
        <row r="185">
          <cell r="B185" t="str">
            <v>MT5344064</v>
          </cell>
          <cell r="C185">
            <v>215640</v>
          </cell>
          <cell r="D185">
            <v>21060</v>
          </cell>
          <cell r="E185">
            <v>236700</v>
          </cell>
          <cell r="F185">
            <v>8.9</v>
          </cell>
          <cell r="G185">
            <v>237320</v>
          </cell>
          <cell r="H185">
            <v>213640</v>
          </cell>
          <cell r="I185">
            <v>23680</v>
          </cell>
          <cell r="J185">
            <v>9.9781416735577455</v>
          </cell>
        </row>
        <row r="186">
          <cell r="B186" t="str">
            <v>MT5344065</v>
          </cell>
          <cell r="C186">
            <v>215240</v>
          </cell>
          <cell r="D186">
            <v>20740</v>
          </cell>
          <cell r="E186">
            <v>235980</v>
          </cell>
          <cell r="F186">
            <v>8.8000000000000007</v>
          </cell>
          <cell r="G186">
            <v>237060</v>
          </cell>
          <cell r="H186">
            <v>213960</v>
          </cell>
          <cell r="I186">
            <v>23090</v>
          </cell>
          <cell r="J186">
            <v>9.7415718298023837</v>
          </cell>
        </row>
        <row r="187">
          <cell r="B187" t="str">
            <v>MT5344066</v>
          </cell>
          <cell r="C187">
            <v>212130</v>
          </cell>
          <cell r="D187">
            <v>20840</v>
          </cell>
          <cell r="E187">
            <v>232970</v>
          </cell>
          <cell r="F187">
            <v>8.9</v>
          </cell>
          <cell r="G187">
            <v>236370</v>
          </cell>
          <cell r="H187">
            <v>213660</v>
          </cell>
          <cell r="I187">
            <v>22720</v>
          </cell>
          <cell r="J187">
            <v>9.6107309864001227</v>
          </cell>
        </row>
        <row r="188">
          <cell r="B188" t="str">
            <v>MT5344067</v>
          </cell>
          <cell r="C188">
            <v>214070</v>
          </cell>
          <cell r="D188">
            <v>20250</v>
          </cell>
          <cell r="E188">
            <v>234320</v>
          </cell>
          <cell r="F188">
            <v>8.6</v>
          </cell>
          <cell r="G188">
            <v>236080</v>
          </cell>
          <cell r="H188">
            <v>213720</v>
          </cell>
          <cell r="I188">
            <v>22360</v>
          </cell>
          <cell r="J188">
            <v>9.4733453429612062</v>
          </cell>
        </row>
        <row r="189">
          <cell r="B189" t="str">
            <v>MT5344068</v>
          </cell>
          <cell r="C189" t="str">
            <v/>
          </cell>
          <cell r="D189" t="str">
            <v/>
          </cell>
          <cell r="E189" t="e">
            <v>#VALUE!</v>
          </cell>
          <cell r="F189" t="str">
            <v/>
          </cell>
          <cell r="G189" t="str">
            <v/>
          </cell>
          <cell r="H189" t="str">
            <v/>
          </cell>
          <cell r="I189" t="str">
            <v/>
          </cell>
          <cell r="J189" t="str">
            <v/>
          </cell>
        </row>
        <row r="190">
          <cell r="B190" t="str">
            <v>MT5344069</v>
          </cell>
          <cell r="C190" t="str">
            <v/>
          </cell>
          <cell r="D190" t="str">
            <v/>
          </cell>
          <cell r="E190" t="e">
            <v>#VALUE!</v>
          </cell>
          <cell r="F190" t="str">
            <v/>
          </cell>
          <cell r="G190" t="str">
            <v/>
          </cell>
          <cell r="H190" t="str">
            <v/>
          </cell>
          <cell r="I190" t="str">
            <v/>
          </cell>
          <cell r="J190" t="str">
            <v/>
          </cell>
        </row>
        <row r="191">
          <cell r="B191" t="str">
            <v>MT53440610</v>
          </cell>
          <cell r="C191" t="str">
            <v/>
          </cell>
          <cell r="D191" t="str">
            <v/>
          </cell>
          <cell r="E191" t="e">
            <v>#VALUE!</v>
          </cell>
          <cell r="F191" t="str">
            <v/>
          </cell>
          <cell r="G191" t="str">
            <v/>
          </cell>
          <cell r="H191" t="str">
            <v/>
          </cell>
          <cell r="I191" t="str">
            <v/>
          </cell>
          <cell r="J191" t="str">
            <v/>
          </cell>
        </row>
        <row r="192">
          <cell r="B192" t="str">
            <v>MT53440611</v>
          </cell>
          <cell r="C192" t="str">
            <v/>
          </cell>
          <cell r="D192" t="str">
            <v/>
          </cell>
          <cell r="E192" t="e">
            <v>#VALUE!</v>
          </cell>
          <cell r="F192" t="str">
            <v/>
          </cell>
          <cell r="G192" t="str">
            <v/>
          </cell>
          <cell r="H192" t="str">
            <v/>
          </cell>
          <cell r="I192" t="str">
            <v/>
          </cell>
          <cell r="J192" t="str">
            <v/>
          </cell>
        </row>
        <row r="193">
          <cell r="B193" t="str">
            <v>MT53440612</v>
          </cell>
          <cell r="C193" t="str">
            <v/>
          </cell>
          <cell r="D193" t="str">
            <v/>
          </cell>
          <cell r="E193" t="e">
            <v>#VALUE!</v>
          </cell>
          <cell r="F193" t="str">
            <v/>
          </cell>
          <cell r="G193" t="str">
            <v/>
          </cell>
          <cell r="H193" t="str">
            <v/>
          </cell>
          <cell r="I193" t="str">
            <v/>
          </cell>
          <cell r="J193" t="str">
            <v/>
          </cell>
        </row>
        <row r="194">
          <cell r="B194" t="str">
            <v>MT5342661</v>
          </cell>
          <cell r="C194">
            <v>1705450</v>
          </cell>
          <cell r="D194">
            <v>172560</v>
          </cell>
          <cell r="E194">
            <v>1878010</v>
          </cell>
          <cell r="F194">
            <v>9.1999999999999993</v>
          </cell>
          <cell r="G194">
            <v>1878010</v>
          </cell>
          <cell r="H194">
            <v>1705450</v>
          </cell>
          <cell r="I194">
            <v>172560</v>
          </cell>
          <cell r="J194">
            <v>9.1999999999999993</v>
          </cell>
        </row>
        <row r="195">
          <cell r="B195" t="str">
            <v>MT5342662</v>
          </cell>
          <cell r="C195">
            <v>1710540</v>
          </cell>
          <cell r="D195">
            <v>176660</v>
          </cell>
          <cell r="E195">
            <v>1887200</v>
          </cell>
          <cell r="F195">
            <v>9.4</v>
          </cell>
          <cell r="G195">
            <v>1882610</v>
          </cell>
          <cell r="H195">
            <v>1707990</v>
          </cell>
          <cell r="I195">
            <v>174610</v>
          </cell>
          <cell r="J195">
            <v>9.2749673988967416</v>
          </cell>
        </row>
        <row r="196">
          <cell r="B196" t="str">
            <v>MT5342663</v>
          </cell>
          <cell r="C196">
            <v>1706090</v>
          </cell>
          <cell r="D196">
            <v>173800</v>
          </cell>
          <cell r="E196">
            <v>1879890</v>
          </cell>
          <cell r="F196">
            <v>9.1999999999999993</v>
          </cell>
          <cell r="G196">
            <v>1881700</v>
          </cell>
          <cell r="H196">
            <v>1707360</v>
          </cell>
          <cell r="I196">
            <v>174340</v>
          </cell>
          <cell r="J196">
            <v>9.2649813687812159</v>
          </cell>
        </row>
        <row r="197">
          <cell r="B197" t="str">
            <v>MT5342664</v>
          </cell>
          <cell r="C197">
            <v>1691960</v>
          </cell>
          <cell r="D197">
            <v>159850</v>
          </cell>
          <cell r="E197">
            <v>1851810</v>
          </cell>
          <cell r="F197">
            <v>8.6</v>
          </cell>
          <cell r="G197">
            <v>1874230</v>
          </cell>
          <cell r="H197">
            <v>1703510</v>
          </cell>
          <cell r="I197">
            <v>170720</v>
          </cell>
          <cell r="J197">
            <v>9.1086776331462609</v>
          </cell>
        </row>
        <row r="198">
          <cell r="B198" t="str">
            <v>MT5342665</v>
          </cell>
          <cell r="C198">
            <v>1703430</v>
          </cell>
          <cell r="D198">
            <v>159540</v>
          </cell>
          <cell r="E198">
            <v>1862970</v>
          </cell>
          <cell r="F198">
            <v>8.6</v>
          </cell>
          <cell r="G198">
            <v>1871980</v>
          </cell>
          <cell r="H198">
            <v>1703490</v>
          </cell>
          <cell r="I198">
            <v>168480</v>
          </cell>
          <cell r="J198">
            <v>9.0002241482207346</v>
          </cell>
        </row>
        <row r="199">
          <cell r="B199" t="str">
            <v>MT5342666</v>
          </cell>
          <cell r="C199">
            <v>1695350</v>
          </cell>
          <cell r="D199">
            <v>173560</v>
          </cell>
          <cell r="E199">
            <v>1868910</v>
          </cell>
          <cell r="F199">
            <v>9.3000000000000007</v>
          </cell>
          <cell r="G199">
            <v>1871460</v>
          </cell>
          <cell r="H199">
            <v>1702140</v>
          </cell>
          <cell r="I199">
            <v>169330</v>
          </cell>
          <cell r="J199">
            <v>9.0478622575817411</v>
          </cell>
        </row>
        <row r="200">
          <cell r="B200" t="str">
            <v>MT5342667</v>
          </cell>
          <cell r="C200">
            <v>1688950</v>
          </cell>
          <cell r="D200">
            <v>169620</v>
          </cell>
          <cell r="E200">
            <v>1858570</v>
          </cell>
          <cell r="F200">
            <v>9.1</v>
          </cell>
          <cell r="G200">
            <v>1869620</v>
          </cell>
          <cell r="H200">
            <v>1700250</v>
          </cell>
          <cell r="I200">
            <v>169370</v>
          </cell>
          <cell r="J200">
            <v>9.0589816703972392</v>
          </cell>
        </row>
        <row r="201">
          <cell r="B201" t="str">
            <v>MT5342668</v>
          </cell>
          <cell r="C201" t="str">
            <v/>
          </cell>
          <cell r="D201" t="str">
            <v/>
          </cell>
          <cell r="E201" t="e">
            <v>#VALUE!</v>
          </cell>
          <cell r="F201" t="str">
            <v/>
          </cell>
          <cell r="G201" t="str">
            <v/>
          </cell>
          <cell r="H201" t="str">
            <v/>
          </cell>
          <cell r="I201" t="str">
            <v/>
          </cell>
          <cell r="J201" t="str">
            <v/>
          </cell>
        </row>
        <row r="202">
          <cell r="B202" t="str">
            <v>MT5342669</v>
          </cell>
          <cell r="C202" t="str">
            <v/>
          </cell>
          <cell r="D202" t="str">
            <v/>
          </cell>
          <cell r="E202" t="e">
            <v>#VALUE!</v>
          </cell>
          <cell r="F202" t="str">
            <v/>
          </cell>
          <cell r="G202" t="str">
            <v/>
          </cell>
          <cell r="H202" t="str">
            <v/>
          </cell>
          <cell r="I202" t="str">
            <v/>
          </cell>
          <cell r="J202" t="str">
            <v/>
          </cell>
        </row>
        <row r="203">
          <cell r="B203" t="str">
            <v>MT53426610</v>
          </cell>
          <cell r="C203" t="str">
            <v/>
          </cell>
          <cell r="D203" t="str">
            <v/>
          </cell>
          <cell r="E203" t="e">
            <v>#VALUE!</v>
          </cell>
          <cell r="F203" t="str">
            <v/>
          </cell>
          <cell r="G203" t="str">
            <v/>
          </cell>
          <cell r="H203" t="str">
            <v/>
          </cell>
          <cell r="I203" t="str">
            <v/>
          </cell>
          <cell r="J203" t="str">
            <v/>
          </cell>
        </row>
        <row r="204">
          <cell r="B204" t="str">
            <v>MT53426611</v>
          </cell>
          <cell r="C204" t="str">
            <v/>
          </cell>
          <cell r="D204" t="str">
            <v/>
          </cell>
          <cell r="E204" t="e">
            <v>#VALUE!</v>
          </cell>
          <cell r="F204" t="str">
            <v/>
          </cell>
          <cell r="G204" t="str">
            <v/>
          </cell>
          <cell r="H204" t="str">
            <v/>
          </cell>
          <cell r="I204" t="str">
            <v/>
          </cell>
          <cell r="J204" t="str">
            <v/>
          </cell>
        </row>
        <row r="205">
          <cell r="B205" t="str">
            <v>MT53426612</v>
          </cell>
          <cell r="C205" t="str">
            <v/>
          </cell>
          <cell r="D205" t="str">
            <v/>
          </cell>
          <cell r="E205" t="e">
            <v>#VALUE!</v>
          </cell>
          <cell r="F205" t="str">
            <v/>
          </cell>
          <cell r="G205" t="str">
            <v/>
          </cell>
          <cell r="H205" t="str">
            <v/>
          </cell>
          <cell r="I205" t="str">
            <v/>
          </cell>
          <cell r="J205" t="str">
            <v/>
          </cell>
        </row>
        <row r="206">
          <cell r="B206" t="str">
            <v>MT5336501</v>
          </cell>
          <cell r="C206">
            <v>118360</v>
          </cell>
          <cell r="D206">
            <v>11050</v>
          </cell>
          <cell r="E206">
            <v>129410</v>
          </cell>
          <cell r="F206">
            <v>8.5</v>
          </cell>
          <cell r="G206">
            <v>129410</v>
          </cell>
          <cell r="H206">
            <v>118360</v>
          </cell>
          <cell r="I206">
            <v>11050</v>
          </cell>
          <cell r="J206">
            <v>8.5</v>
          </cell>
        </row>
        <row r="207">
          <cell r="B207" t="str">
            <v>MT5336502</v>
          </cell>
          <cell r="C207">
            <v>118470</v>
          </cell>
          <cell r="D207">
            <v>11240</v>
          </cell>
          <cell r="E207">
            <v>129710</v>
          </cell>
          <cell r="F207">
            <v>8.6999999999999993</v>
          </cell>
          <cell r="G207">
            <v>129560</v>
          </cell>
          <cell r="H207">
            <v>118410</v>
          </cell>
          <cell r="I207">
            <v>11150</v>
          </cell>
          <cell r="J207">
            <v>8.6022916288780742</v>
          </cell>
        </row>
        <row r="208">
          <cell r="B208" t="str">
            <v>MT5336503</v>
          </cell>
          <cell r="C208">
            <v>119760</v>
          </cell>
          <cell r="D208">
            <v>11390</v>
          </cell>
          <cell r="E208">
            <v>131150</v>
          </cell>
          <cell r="F208">
            <v>8.6999999999999993</v>
          </cell>
          <cell r="G208">
            <v>130090</v>
          </cell>
          <cell r="H208">
            <v>118860</v>
          </cell>
          <cell r="I208">
            <v>11230</v>
          </cell>
          <cell r="J208">
            <v>8.6290084942282803</v>
          </cell>
        </row>
        <row r="209">
          <cell r="B209" t="str">
            <v>MT5336504</v>
          </cell>
          <cell r="C209">
            <v>119780</v>
          </cell>
          <cell r="D209">
            <v>10310</v>
          </cell>
          <cell r="E209">
            <v>130090</v>
          </cell>
          <cell r="F209">
            <v>7.9</v>
          </cell>
          <cell r="G209">
            <v>130090</v>
          </cell>
          <cell r="H209">
            <v>119090</v>
          </cell>
          <cell r="I209">
            <v>11000</v>
          </cell>
          <cell r="J209">
            <v>8.4525962382939142</v>
          </cell>
        </row>
        <row r="210">
          <cell r="B210" t="str">
            <v>MT5336505</v>
          </cell>
          <cell r="C210">
            <v>119670</v>
          </cell>
          <cell r="D210">
            <v>10430</v>
          </cell>
          <cell r="E210">
            <v>130100</v>
          </cell>
          <cell r="F210">
            <v>8</v>
          </cell>
          <cell r="G210">
            <v>130090</v>
          </cell>
          <cell r="H210">
            <v>119210</v>
          </cell>
          <cell r="I210">
            <v>10880</v>
          </cell>
          <cell r="J210">
            <v>8.3651189712983776</v>
          </cell>
        </row>
        <row r="211">
          <cell r="B211" t="str">
            <v>MT5336506</v>
          </cell>
          <cell r="C211">
            <v>116750</v>
          </cell>
          <cell r="D211">
            <v>10530</v>
          </cell>
          <cell r="E211">
            <v>127280</v>
          </cell>
          <cell r="F211">
            <v>8.3000000000000007</v>
          </cell>
          <cell r="G211">
            <v>129620</v>
          </cell>
          <cell r="H211">
            <v>118800</v>
          </cell>
          <cell r="I211">
            <v>10820</v>
          </cell>
          <cell r="J211">
            <v>8.3498558618330865</v>
          </cell>
        </row>
        <row r="212">
          <cell r="B212" t="str">
            <v>MT5336507</v>
          </cell>
          <cell r="C212">
            <v>115380</v>
          </cell>
          <cell r="D212">
            <v>10170</v>
          </cell>
          <cell r="E212">
            <v>125550</v>
          </cell>
          <cell r="F212">
            <v>8.1</v>
          </cell>
          <cell r="G212">
            <v>129040</v>
          </cell>
          <cell r="H212">
            <v>118310</v>
          </cell>
          <cell r="I212">
            <v>10730</v>
          </cell>
          <cell r="J212">
            <v>8.3148542802579488</v>
          </cell>
        </row>
        <row r="213">
          <cell r="B213" t="str">
            <v>MT5336508</v>
          </cell>
          <cell r="C213" t="str">
            <v/>
          </cell>
          <cell r="D213" t="str">
            <v/>
          </cell>
          <cell r="E213" t="e">
            <v>#VALUE!</v>
          </cell>
          <cell r="F213" t="str">
            <v/>
          </cell>
          <cell r="G213" t="str">
            <v/>
          </cell>
          <cell r="H213" t="str">
            <v/>
          </cell>
          <cell r="I213" t="str">
            <v/>
          </cell>
          <cell r="J213" t="str">
            <v/>
          </cell>
        </row>
        <row r="214">
          <cell r="B214" t="str">
            <v>MT5336509</v>
          </cell>
          <cell r="C214" t="str">
            <v/>
          </cell>
          <cell r="D214" t="str">
            <v/>
          </cell>
          <cell r="E214" t="e">
            <v>#VALUE!</v>
          </cell>
          <cell r="F214" t="str">
            <v/>
          </cell>
          <cell r="G214" t="str">
            <v/>
          </cell>
          <cell r="H214" t="str">
            <v/>
          </cell>
          <cell r="I214" t="str">
            <v/>
          </cell>
          <cell r="J214" t="str">
            <v/>
          </cell>
        </row>
        <row r="215">
          <cell r="B215" t="str">
            <v>MT53365010</v>
          </cell>
          <cell r="C215" t="str">
            <v/>
          </cell>
          <cell r="D215" t="str">
            <v/>
          </cell>
          <cell r="E215" t="e">
            <v>#VALUE!</v>
          </cell>
          <cell r="F215" t="str">
            <v/>
          </cell>
          <cell r="G215" t="str">
            <v/>
          </cell>
          <cell r="H215" t="str">
            <v/>
          </cell>
          <cell r="I215" t="str">
            <v/>
          </cell>
          <cell r="J215" t="str">
            <v/>
          </cell>
        </row>
        <row r="216">
          <cell r="B216" t="str">
            <v>MT53365011</v>
          </cell>
          <cell r="C216" t="str">
            <v/>
          </cell>
          <cell r="D216" t="str">
            <v/>
          </cell>
          <cell r="E216" t="e">
            <v>#VALUE!</v>
          </cell>
          <cell r="F216" t="str">
            <v/>
          </cell>
          <cell r="G216" t="str">
            <v/>
          </cell>
          <cell r="H216" t="str">
            <v/>
          </cell>
          <cell r="I216" t="str">
            <v/>
          </cell>
          <cell r="J216" t="str">
            <v/>
          </cell>
        </row>
        <row r="217">
          <cell r="B217" t="str">
            <v>MT53365012</v>
          </cell>
          <cell r="C217" t="str">
            <v/>
          </cell>
          <cell r="D217" t="str">
            <v/>
          </cell>
          <cell r="E217" t="e">
            <v>#VALUE!</v>
          </cell>
          <cell r="F217" t="str">
            <v/>
          </cell>
          <cell r="G217" t="str">
            <v/>
          </cell>
          <cell r="H217" t="str">
            <v/>
          </cell>
          <cell r="I217" t="str">
            <v/>
          </cell>
          <cell r="J217" t="str">
            <v/>
          </cell>
        </row>
        <row r="218">
          <cell r="B218" t="str">
            <v>MT5334581</v>
          </cell>
          <cell r="C218">
            <v>51380</v>
          </cell>
          <cell r="D218">
            <v>6460</v>
          </cell>
          <cell r="E218">
            <v>57840</v>
          </cell>
          <cell r="F218">
            <v>11.2</v>
          </cell>
          <cell r="G218">
            <v>57840</v>
          </cell>
          <cell r="H218">
            <v>51380</v>
          </cell>
          <cell r="I218">
            <v>6460</v>
          </cell>
          <cell r="J218">
            <v>11.2</v>
          </cell>
        </row>
        <row r="219">
          <cell r="B219" t="str">
            <v>MT5334582</v>
          </cell>
          <cell r="C219">
            <v>51810</v>
          </cell>
          <cell r="D219">
            <v>6420</v>
          </cell>
          <cell r="E219">
            <v>58230</v>
          </cell>
          <cell r="F219">
            <v>11</v>
          </cell>
          <cell r="G219">
            <v>58030</v>
          </cell>
          <cell r="H219">
            <v>51600</v>
          </cell>
          <cell r="I219">
            <v>6440</v>
          </cell>
          <cell r="J219">
            <v>11.093496915601198</v>
          </cell>
        </row>
        <row r="220">
          <cell r="B220" t="str">
            <v>MT5334583</v>
          </cell>
          <cell r="C220">
            <v>51420</v>
          </cell>
          <cell r="D220">
            <v>6500</v>
          </cell>
          <cell r="E220">
            <v>57920</v>
          </cell>
          <cell r="F220">
            <v>11.2</v>
          </cell>
          <cell r="G220">
            <v>57990</v>
          </cell>
          <cell r="H220">
            <v>51540</v>
          </cell>
          <cell r="I220">
            <v>6460</v>
          </cell>
          <cell r="J220">
            <v>11.133974399503394</v>
          </cell>
        </row>
        <row r="221">
          <cell r="B221" t="str">
            <v>MT5334584</v>
          </cell>
          <cell r="C221">
            <v>51700</v>
          </cell>
          <cell r="D221">
            <v>5700</v>
          </cell>
          <cell r="E221">
            <v>57400</v>
          </cell>
          <cell r="F221">
            <v>9.9</v>
          </cell>
          <cell r="G221">
            <v>57840</v>
          </cell>
          <cell r="H221">
            <v>51580</v>
          </cell>
          <cell r="I221">
            <v>6270</v>
          </cell>
          <cell r="J221">
            <v>10.835469078870599</v>
          </cell>
        </row>
        <row r="222">
          <cell r="B222" t="str">
            <v>MT5334585</v>
          </cell>
          <cell r="C222">
            <v>51590</v>
          </cell>
          <cell r="D222">
            <v>5620</v>
          </cell>
          <cell r="E222">
            <v>57210</v>
          </cell>
          <cell r="F222">
            <v>9.8000000000000007</v>
          </cell>
          <cell r="G222">
            <v>57720</v>
          </cell>
          <cell r="H222">
            <v>51580</v>
          </cell>
          <cell r="I222">
            <v>6140</v>
          </cell>
          <cell r="J222">
            <v>10.635503655705326</v>
          </cell>
        </row>
        <row r="223">
          <cell r="B223" t="str">
            <v>MT5334586</v>
          </cell>
          <cell r="C223">
            <v>51380</v>
          </cell>
          <cell r="D223">
            <v>5700</v>
          </cell>
          <cell r="E223">
            <v>57080</v>
          </cell>
          <cell r="F223">
            <v>10</v>
          </cell>
          <cell r="G223">
            <v>57610</v>
          </cell>
          <cell r="H223">
            <v>51550</v>
          </cell>
          <cell r="I223">
            <v>6070</v>
          </cell>
          <cell r="J223">
            <v>10.528965068344544</v>
          </cell>
        </row>
        <row r="224">
          <cell r="B224" t="str">
            <v>MT5334587</v>
          </cell>
          <cell r="C224">
            <v>52520</v>
          </cell>
          <cell r="D224">
            <v>5530</v>
          </cell>
          <cell r="E224">
            <v>58050</v>
          </cell>
          <cell r="F224">
            <v>9.5</v>
          </cell>
          <cell r="G224">
            <v>57680</v>
          </cell>
          <cell r="H224">
            <v>51690</v>
          </cell>
          <cell r="I224">
            <v>5990</v>
          </cell>
          <cell r="J224">
            <v>10.38479162796458</v>
          </cell>
        </row>
        <row r="225">
          <cell r="B225" t="str">
            <v>MT5334588</v>
          </cell>
          <cell r="C225" t="str">
            <v/>
          </cell>
          <cell r="D225" t="str">
            <v/>
          </cell>
          <cell r="E225" t="e">
            <v>#VALUE!</v>
          </cell>
          <cell r="F225" t="str">
            <v/>
          </cell>
          <cell r="G225" t="str">
            <v/>
          </cell>
          <cell r="H225" t="str">
            <v/>
          </cell>
          <cell r="I225" t="str">
            <v/>
          </cell>
          <cell r="J225" t="str">
            <v/>
          </cell>
        </row>
        <row r="226">
          <cell r="B226" t="str">
            <v>MT5334589</v>
          </cell>
          <cell r="C226" t="str">
            <v/>
          </cell>
          <cell r="D226" t="str">
            <v/>
          </cell>
          <cell r="E226" t="e">
            <v>#VALUE!</v>
          </cell>
          <cell r="F226" t="str">
            <v/>
          </cell>
          <cell r="G226" t="str">
            <v/>
          </cell>
          <cell r="H226" t="str">
            <v/>
          </cell>
          <cell r="I226" t="str">
            <v/>
          </cell>
          <cell r="J226" t="str">
            <v/>
          </cell>
        </row>
        <row r="227">
          <cell r="B227" t="str">
            <v>MT53345810</v>
          </cell>
          <cell r="C227" t="str">
            <v/>
          </cell>
          <cell r="D227" t="str">
            <v/>
          </cell>
          <cell r="E227" t="e">
            <v>#VALUE!</v>
          </cell>
          <cell r="F227" t="str">
            <v/>
          </cell>
          <cell r="G227" t="str">
            <v/>
          </cell>
          <cell r="H227" t="str">
            <v/>
          </cell>
          <cell r="I227" t="str">
            <v/>
          </cell>
          <cell r="J227" t="str">
            <v/>
          </cell>
        </row>
        <row r="228">
          <cell r="B228" t="str">
            <v>MT53345811</v>
          </cell>
          <cell r="C228" t="str">
            <v/>
          </cell>
          <cell r="D228" t="str">
            <v/>
          </cell>
          <cell r="E228" t="e">
            <v>#VALUE!</v>
          </cell>
          <cell r="F228" t="str">
            <v/>
          </cell>
          <cell r="G228" t="str">
            <v/>
          </cell>
          <cell r="H228" t="str">
            <v/>
          </cell>
          <cell r="I228" t="str">
            <v/>
          </cell>
          <cell r="J228" t="str">
            <v/>
          </cell>
        </row>
        <row r="229">
          <cell r="B229" t="str">
            <v>MT53345812</v>
          </cell>
          <cell r="C229" t="str">
            <v/>
          </cell>
          <cell r="D229" t="str">
            <v/>
          </cell>
          <cell r="E229" t="e">
            <v>#VALUE!</v>
          </cell>
          <cell r="F229" t="str">
            <v/>
          </cell>
          <cell r="G229" t="str">
            <v/>
          </cell>
          <cell r="H229" t="str">
            <v/>
          </cell>
          <cell r="I229" t="str">
            <v/>
          </cell>
          <cell r="J229" t="str">
            <v/>
          </cell>
        </row>
        <row r="230">
          <cell r="B230" t="str">
            <v>MT5331021</v>
          </cell>
          <cell r="C230">
            <v>37860</v>
          </cell>
          <cell r="D230">
            <v>5660</v>
          </cell>
          <cell r="E230">
            <v>43520</v>
          </cell>
          <cell r="F230">
            <v>13</v>
          </cell>
          <cell r="G230">
            <v>43520</v>
          </cell>
          <cell r="H230">
            <v>37860</v>
          </cell>
          <cell r="I230">
            <v>5660</v>
          </cell>
          <cell r="J230">
            <v>13</v>
          </cell>
        </row>
        <row r="231">
          <cell r="B231" t="str">
            <v>MT5331022</v>
          </cell>
          <cell r="C231">
            <v>37720</v>
          </cell>
          <cell r="D231">
            <v>5700</v>
          </cell>
          <cell r="E231">
            <v>43420</v>
          </cell>
          <cell r="F231">
            <v>13.1</v>
          </cell>
          <cell r="G231">
            <v>43470</v>
          </cell>
          <cell r="H231">
            <v>37790</v>
          </cell>
          <cell r="I231">
            <v>5680</v>
          </cell>
          <cell r="J231">
            <v>13.071331631127366</v>
          </cell>
        </row>
        <row r="232">
          <cell r="B232" t="str">
            <v>MT5331023</v>
          </cell>
          <cell r="C232">
            <v>38220</v>
          </cell>
          <cell r="D232">
            <v>5590</v>
          </cell>
          <cell r="E232">
            <v>43810</v>
          </cell>
          <cell r="F232">
            <v>12.8</v>
          </cell>
          <cell r="G232">
            <v>43580</v>
          </cell>
          <cell r="H232">
            <v>37930</v>
          </cell>
          <cell r="I232">
            <v>5650</v>
          </cell>
          <cell r="J232">
            <v>12.96806167400881</v>
          </cell>
        </row>
        <row r="233">
          <cell r="B233" t="str">
            <v>MT5331024</v>
          </cell>
          <cell r="C233">
            <v>37880</v>
          </cell>
          <cell r="D233">
            <v>5200</v>
          </cell>
          <cell r="E233">
            <v>43080</v>
          </cell>
          <cell r="F233">
            <v>12.1</v>
          </cell>
          <cell r="G233">
            <v>43460</v>
          </cell>
          <cell r="H233">
            <v>37920</v>
          </cell>
          <cell r="I233">
            <v>5540</v>
          </cell>
          <cell r="J233">
            <v>12.74363163586994</v>
          </cell>
        </row>
        <row r="234">
          <cell r="B234" t="str">
            <v>MT5331025</v>
          </cell>
          <cell r="C234">
            <v>38380</v>
          </cell>
          <cell r="D234">
            <v>5140</v>
          </cell>
          <cell r="E234">
            <v>43520</v>
          </cell>
          <cell r="F234">
            <v>11.8</v>
          </cell>
          <cell r="G234">
            <v>43470</v>
          </cell>
          <cell r="H234">
            <v>38010</v>
          </cell>
          <cell r="I234">
            <v>5460</v>
          </cell>
          <cell r="J234">
            <v>12.555901135506192</v>
          </cell>
        </row>
        <row r="235">
          <cell r="B235" t="str">
            <v>MT5331026</v>
          </cell>
          <cell r="C235">
            <v>37370</v>
          </cell>
          <cell r="D235">
            <v>5220</v>
          </cell>
          <cell r="E235">
            <v>42590</v>
          </cell>
          <cell r="F235">
            <v>12.2</v>
          </cell>
          <cell r="G235">
            <v>43320</v>
          </cell>
          <cell r="H235">
            <v>37900</v>
          </cell>
          <cell r="I235">
            <v>5420</v>
          </cell>
          <cell r="J235">
            <v>12.505770651237228</v>
          </cell>
        </row>
        <row r="236">
          <cell r="B236" t="str">
            <v>MT5331027</v>
          </cell>
          <cell r="C236">
            <v>37390</v>
          </cell>
          <cell r="D236">
            <v>4800</v>
          </cell>
          <cell r="E236">
            <v>42190</v>
          </cell>
          <cell r="F236">
            <v>11.4</v>
          </cell>
          <cell r="G236">
            <v>43160</v>
          </cell>
          <cell r="H236">
            <v>37830</v>
          </cell>
          <cell r="I236">
            <v>5330</v>
          </cell>
          <cell r="J236">
            <v>12.348576119047305</v>
          </cell>
        </row>
        <row r="237">
          <cell r="B237" t="str">
            <v>MT5331028</v>
          </cell>
          <cell r="C237" t="str">
            <v/>
          </cell>
          <cell r="D237" t="str">
            <v/>
          </cell>
          <cell r="E237" t="e">
            <v>#VALUE!</v>
          </cell>
          <cell r="F237" t="str">
            <v/>
          </cell>
          <cell r="G237" t="str">
            <v/>
          </cell>
          <cell r="H237" t="str">
            <v/>
          </cell>
          <cell r="I237" t="str">
            <v/>
          </cell>
          <cell r="J237" t="str">
            <v/>
          </cell>
        </row>
        <row r="238">
          <cell r="B238" t="str">
            <v>MT5331029</v>
          </cell>
          <cell r="C238" t="str">
            <v/>
          </cell>
          <cell r="D238" t="str">
            <v/>
          </cell>
          <cell r="E238" t="e">
            <v>#VALUE!</v>
          </cell>
          <cell r="F238" t="str">
            <v/>
          </cell>
          <cell r="G238" t="str">
            <v/>
          </cell>
          <cell r="H238" t="str">
            <v/>
          </cell>
          <cell r="I238" t="str">
            <v/>
          </cell>
          <cell r="J238" t="str">
            <v/>
          </cell>
        </row>
        <row r="239">
          <cell r="B239" t="str">
            <v>MT53310210</v>
          </cell>
          <cell r="C239" t="str">
            <v/>
          </cell>
          <cell r="D239" t="str">
            <v/>
          </cell>
          <cell r="E239" t="e">
            <v>#VALUE!</v>
          </cell>
          <cell r="F239" t="str">
            <v/>
          </cell>
          <cell r="G239" t="str">
            <v/>
          </cell>
          <cell r="H239" t="str">
            <v/>
          </cell>
          <cell r="I239" t="str">
            <v/>
          </cell>
          <cell r="J239" t="str">
            <v/>
          </cell>
        </row>
        <row r="240">
          <cell r="B240" t="str">
            <v>MT53310211</v>
          </cell>
          <cell r="C240" t="str">
            <v/>
          </cell>
          <cell r="D240" t="str">
            <v/>
          </cell>
          <cell r="E240" t="e">
            <v>#VALUE!</v>
          </cell>
          <cell r="F240" t="str">
            <v/>
          </cell>
          <cell r="G240" t="str">
            <v/>
          </cell>
          <cell r="H240" t="str">
            <v/>
          </cell>
          <cell r="I240" t="str">
            <v/>
          </cell>
          <cell r="J240" t="str">
            <v/>
          </cell>
        </row>
        <row r="241">
          <cell r="B241" t="str">
            <v>MT53310212</v>
          </cell>
          <cell r="C241" t="str">
            <v/>
          </cell>
          <cell r="D241" t="str">
            <v/>
          </cell>
          <cell r="E241" t="e">
            <v>#VALUE!</v>
          </cell>
          <cell r="F241" t="str">
            <v/>
          </cell>
          <cell r="G241" t="str">
            <v/>
          </cell>
          <cell r="H241" t="str">
            <v/>
          </cell>
          <cell r="I241" t="str">
            <v/>
          </cell>
          <cell r="J241" t="str">
            <v/>
          </cell>
        </row>
        <row r="242">
          <cell r="B242" t="str">
            <v>MT5328421</v>
          </cell>
          <cell r="C242">
            <v>120420</v>
          </cell>
          <cell r="D242">
            <v>11370</v>
          </cell>
          <cell r="E242">
            <v>131790</v>
          </cell>
          <cell r="F242">
            <v>8.6</v>
          </cell>
          <cell r="G242">
            <v>131790</v>
          </cell>
          <cell r="H242">
            <v>120420</v>
          </cell>
          <cell r="I242">
            <v>11370</v>
          </cell>
          <cell r="J242">
            <v>8.6</v>
          </cell>
        </row>
        <row r="243">
          <cell r="B243" t="str">
            <v>MT5328422</v>
          </cell>
          <cell r="C243">
            <v>120870</v>
          </cell>
          <cell r="D243">
            <v>10980</v>
          </cell>
          <cell r="E243">
            <v>131850</v>
          </cell>
          <cell r="F243">
            <v>8.3000000000000007</v>
          </cell>
          <cell r="G243">
            <v>131820</v>
          </cell>
          <cell r="H243">
            <v>120650</v>
          </cell>
          <cell r="I243">
            <v>11170</v>
          </cell>
          <cell r="J243">
            <v>8.4760163557605495</v>
          </cell>
        </row>
        <row r="244">
          <cell r="B244" t="str">
            <v>MT5328423</v>
          </cell>
          <cell r="C244">
            <v>122480</v>
          </cell>
          <cell r="D244">
            <v>10740</v>
          </cell>
          <cell r="E244">
            <v>133220</v>
          </cell>
          <cell r="F244">
            <v>8.1</v>
          </cell>
          <cell r="G244">
            <v>132290</v>
          </cell>
          <cell r="H244">
            <v>121260</v>
          </cell>
          <cell r="I244">
            <v>11030</v>
          </cell>
          <cell r="J244">
            <v>8.337029048319792</v>
          </cell>
        </row>
        <row r="245">
          <cell r="B245" t="str">
            <v>MT5328424</v>
          </cell>
          <cell r="C245">
            <v>122860</v>
          </cell>
          <cell r="D245">
            <v>9530</v>
          </cell>
          <cell r="E245">
            <v>132390</v>
          </cell>
          <cell r="F245">
            <v>7.2</v>
          </cell>
          <cell r="G245">
            <v>132310</v>
          </cell>
          <cell r="H245">
            <v>121660</v>
          </cell>
          <cell r="I245">
            <v>10650</v>
          </cell>
          <cell r="J245">
            <v>8.0514543331456458</v>
          </cell>
        </row>
        <row r="246">
          <cell r="B246" t="str">
            <v>MT5328425</v>
          </cell>
          <cell r="C246">
            <v>123480</v>
          </cell>
          <cell r="D246">
            <v>9670</v>
          </cell>
          <cell r="E246">
            <v>133150</v>
          </cell>
          <cell r="F246">
            <v>7.3</v>
          </cell>
          <cell r="G246">
            <v>132480</v>
          </cell>
          <cell r="H246">
            <v>122020</v>
          </cell>
          <cell r="I246">
            <v>10460</v>
          </cell>
          <cell r="J246">
            <v>7.8931755221582289</v>
          </cell>
        </row>
        <row r="247">
          <cell r="B247" t="str">
            <v>MT5328426</v>
          </cell>
          <cell r="C247">
            <v>128000</v>
          </cell>
          <cell r="D247">
            <v>9920</v>
          </cell>
          <cell r="E247">
            <v>137920</v>
          </cell>
          <cell r="F247">
            <v>7.2</v>
          </cell>
          <cell r="G247">
            <v>133390</v>
          </cell>
          <cell r="H247">
            <v>123020</v>
          </cell>
          <cell r="I247">
            <v>10370</v>
          </cell>
          <cell r="J247">
            <v>7.7723243626876455</v>
          </cell>
        </row>
        <row r="248">
          <cell r="B248" t="str">
            <v>MT5328427</v>
          </cell>
          <cell r="C248">
            <v>125250</v>
          </cell>
          <cell r="D248">
            <v>9730</v>
          </cell>
          <cell r="E248">
            <v>134980</v>
          </cell>
          <cell r="F248">
            <v>7.2</v>
          </cell>
          <cell r="G248">
            <v>133610</v>
          </cell>
          <cell r="H248">
            <v>123340</v>
          </cell>
          <cell r="I248">
            <v>10280</v>
          </cell>
          <cell r="J248">
            <v>7.6906956802518165</v>
          </cell>
        </row>
        <row r="249">
          <cell r="B249" t="str">
            <v>MT5328428</v>
          </cell>
          <cell r="C249" t="str">
            <v/>
          </cell>
          <cell r="D249" t="str">
            <v/>
          </cell>
          <cell r="E249" t="e">
            <v>#VALUE!</v>
          </cell>
          <cell r="F249" t="str">
            <v/>
          </cell>
          <cell r="G249" t="str">
            <v/>
          </cell>
          <cell r="H249" t="str">
            <v/>
          </cell>
          <cell r="I249" t="str">
            <v/>
          </cell>
          <cell r="J249" t="str">
            <v/>
          </cell>
        </row>
        <row r="250">
          <cell r="B250" t="str">
            <v>MT5328429</v>
          </cell>
          <cell r="C250" t="str">
            <v/>
          </cell>
          <cell r="D250" t="str">
            <v/>
          </cell>
          <cell r="E250" t="e">
            <v>#VALUE!</v>
          </cell>
          <cell r="F250" t="str">
            <v/>
          </cell>
          <cell r="G250" t="str">
            <v/>
          </cell>
          <cell r="H250" t="str">
            <v/>
          </cell>
          <cell r="I250" t="str">
            <v/>
          </cell>
          <cell r="J250" t="str">
            <v/>
          </cell>
        </row>
        <row r="251">
          <cell r="B251" t="str">
            <v>MT53284210</v>
          </cell>
          <cell r="C251" t="str">
            <v/>
          </cell>
          <cell r="D251" t="str">
            <v/>
          </cell>
          <cell r="E251" t="e">
            <v>#VALUE!</v>
          </cell>
          <cell r="F251" t="str">
            <v/>
          </cell>
          <cell r="G251" t="str">
            <v/>
          </cell>
          <cell r="H251" t="str">
            <v/>
          </cell>
          <cell r="I251" t="str">
            <v/>
          </cell>
          <cell r="J251" t="str">
            <v/>
          </cell>
        </row>
        <row r="252">
          <cell r="B252" t="str">
            <v>MT53284211</v>
          </cell>
          <cell r="C252" t="str">
            <v/>
          </cell>
          <cell r="D252" t="str">
            <v/>
          </cell>
          <cell r="E252" t="e">
            <v>#VALUE!</v>
          </cell>
          <cell r="F252" t="str">
            <v/>
          </cell>
          <cell r="G252" t="str">
            <v/>
          </cell>
          <cell r="H252" t="str">
            <v/>
          </cell>
          <cell r="I252" t="str">
            <v/>
          </cell>
          <cell r="J252" t="str">
            <v/>
          </cell>
        </row>
        <row r="253">
          <cell r="B253" t="str">
            <v>MT53284212</v>
          </cell>
          <cell r="C253" t="str">
            <v/>
          </cell>
          <cell r="D253" t="str">
            <v/>
          </cell>
          <cell r="E253" t="e">
            <v>#VALUE!</v>
          </cell>
          <cell r="F253" t="str">
            <v/>
          </cell>
          <cell r="G253" t="str">
            <v/>
          </cell>
          <cell r="H253" t="str">
            <v/>
          </cell>
          <cell r="I253" t="str">
            <v/>
          </cell>
          <cell r="J253" t="str">
            <v/>
          </cell>
        </row>
        <row r="254">
          <cell r="B254" t="str">
            <v>MT5314741</v>
          </cell>
          <cell r="C254">
            <v>114560</v>
          </cell>
          <cell r="D254">
            <v>10000</v>
          </cell>
          <cell r="E254">
            <v>124560</v>
          </cell>
          <cell r="F254">
            <v>8</v>
          </cell>
          <cell r="G254">
            <v>124560</v>
          </cell>
          <cell r="H254">
            <v>114560</v>
          </cell>
          <cell r="I254">
            <v>10000</v>
          </cell>
          <cell r="J254">
            <v>8</v>
          </cell>
        </row>
        <row r="255">
          <cell r="B255" t="str">
            <v>MT5314742</v>
          </cell>
          <cell r="C255">
            <v>113840</v>
          </cell>
          <cell r="D255">
            <v>10120</v>
          </cell>
          <cell r="E255">
            <v>123960</v>
          </cell>
          <cell r="F255">
            <v>8.1999999999999993</v>
          </cell>
          <cell r="G255">
            <v>124260</v>
          </cell>
          <cell r="H255">
            <v>114200</v>
          </cell>
          <cell r="I255">
            <v>10060</v>
          </cell>
          <cell r="J255">
            <v>8.0955255110252704</v>
          </cell>
        </row>
        <row r="256">
          <cell r="B256" t="str">
            <v>MT5314743</v>
          </cell>
          <cell r="C256">
            <v>113700</v>
          </cell>
          <cell r="D256">
            <v>10370</v>
          </cell>
          <cell r="E256">
            <v>124070</v>
          </cell>
          <cell r="F256">
            <v>8.4</v>
          </cell>
          <cell r="G256">
            <v>124200</v>
          </cell>
          <cell r="H256">
            <v>114040</v>
          </cell>
          <cell r="I256">
            <v>10160</v>
          </cell>
          <cell r="J256">
            <v>8.1826550686674189</v>
          </cell>
        </row>
        <row r="257">
          <cell r="B257" t="str">
            <v>MT5314744</v>
          </cell>
          <cell r="C257">
            <v>113340</v>
          </cell>
          <cell r="D257">
            <v>9240</v>
          </cell>
          <cell r="E257">
            <v>122580</v>
          </cell>
          <cell r="F257">
            <v>7.5</v>
          </cell>
          <cell r="G257">
            <v>123790</v>
          </cell>
          <cell r="H257">
            <v>113860</v>
          </cell>
          <cell r="I257">
            <v>9930</v>
          </cell>
          <cell r="J257">
            <v>8.0235793997310054</v>
          </cell>
        </row>
        <row r="258">
          <cell r="B258" t="str">
            <v>MT5314745</v>
          </cell>
          <cell r="C258">
            <v>113330</v>
          </cell>
          <cell r="D258">
            <v>9440</v>
          </cell>
          <cell r="E258">
            <v>122770</v>
          </cell>
          <cell r="F258">
            <v>7.7</v>
          </cell>
          <cell r="G258">
            <v>123590</v>
          </cell>
          <cell r="H258">
            <v>113750</v>
          </cell>
          <cell r="I258">
            <v>9830</v>
          </cell>
          <cell r="J258">
            <v>7.9570574584669762</v>
          </cell>
        </row>
        <row r="259">
          <cell r="B259" t="str">
            <v>MT5314746</v>
          </cell>
          <cell r="C259">
            <v>110930</v>
          </cell>
          <cell r="D259">
            <v>9540</v>
          </cell>
          <cell r="E259">
            <v>120470</v>
          </cell>
          <cell r="F259">
            <v>7.9</v>
          </cell>
          <cell r="G259">
            <v>123070</v>
          </cell>
          <cell r="H259">
            <v>113280</v>
          </cell>
          <cell r="I259">
            <v>9790</v>
          </cell>
          <cell r="J259">
            <v>7.9509274569789152</v>
          </cell>
        </row>
        <row r="260">
          <cell r="B260" t="str">
            <v>MT5314747</v>
          </cell>
          <cell r="C260">
            <v>109860</v>
          </cell>
          <cell r="D260">
            <v>9190</v>
          </cell>
          <cell r="E260">
            <v>119050</v>
          </cell>
          <cell r="F260">
            <v>7.7</v>
          </cell>
          <cell r="G260">
            <v>122490</v>
          </cell>
          <cell r="H260">
            <v>112790</v>
          </cell>
          <cell r="I260">
            <v>9700</v>
          </cell>
          <cell r="J260">
            <v>7.9183960982391</v>
          </cell>
        </row>
        <row r="261">
          <cell r="B261" t="str">
            <v>MT5314748</v>
          </cell>
          <cell r="C261" t="str">
            <v/>
          </cell>
          <cell r="D261" t="str">
            <v/>
          </cell>
          <cell r="E261" t="e">
            <v>#VALUE!</v>
          </cell>
          <cell r="F261" t="str">
            <v/>
          </cell>
          <cell r="G261" t="str">
            <v/>
          </cell>
          <cell r="H261" t="str">
            <v/>
          </cell>
          <cell r="I261" t="str">
            <v/>
          </cell>
          <cell r="J261" t="str">
            <v/>
          </cell>
        </row>
        <row r="262">
          <cell r="B262" t="str">
            <v>MT5314749</v>
          </cell>
          <cell r="C262" t="str">
            <v/>
          </cell>
          <cell r="D262" t="str">
            <v/>
          </cell>
          <cell r="E262" t="e">
            <v>#VALUE!</v>
          </cell>
          <cell r="F262" t="str">
            <v/>
          </cell>
          <cell r="G262" t="str">
            <v/>
          </cell>
          <cell r="H262" t="str">
            <v/>
          </cell>
          <cell r="I262" t="str">
            <v/>
          </cell>
          <cell r="J262" t="str">
            <v/>
          </cell>
        </row>
        <row r="263">
          <cell r="B263" t="str">
            <v>MT53147410</v>
          </cell>
          <cell r="C263" t="str">
            <v/>
          </cell>
          <cell r="D263" t="str">
            <v/>
          </cell>
          <cell r="E263" t="e">
            <v>#VALUE!</v>
          </cell>
          <cell r="F263" t="str">
            <v/>
          </cell>
          <cell r="G263" t="str">
            <v/>
          </cell>
          <cell r="H263" t="str">
            <v/>
          </cell>
          <cell r="I263" t="str">
            <v/>
          </cell>
          <cell r="J263" t="str">
            <v/>
          </cell>
        </row>
        <row r="264">
          <cell r="B264" t="str">
            <v>MT53147411</v>
          </cell>
          <cell r="C264" t="str">
            <v/>
          </cell>
          <cell r="D264" t="str">
            <v/>
          </cell>
          <cell r="E264" t="e">
            <v>#VALUE!</v>
          </cell>
          <cell r="F264" t="str">
            <v/>
          </cell>
          <cell r="G264" t="str">
            <v/>
          </cell>
          <cell r="H264" t="str">
            <v/>
          </cell>
          <cell r="I264" t="str">
            <v/>
          </cell>
          <cell r="J264" t="str">
            <v/>
          </cell>
        </row>
        <row r="265">
          <cell r="B265" t="str">
            <v>MT53147412</v>
          </cell>
          <cell r="C265" t="str">
            <v/>
          </cell>
          <cell r="D265" t="str">
            <v/>
          </cell>
          <cell r="E265" t="e">
            <v>#VALUE!</v>
          </cell>
          <cell r="F265" t="str">
            <v/>
          </cell>
          <cell r="G265" t="str">
            <v/>
          </cell>
          <cell r="H265" t="str">
            <v/>
          </cell>
          <cell r="I265" t="str">
            <v/>
          </cell>
          <cell r="J265" t="str">
            <v/>
          </cell>
        </row>
        <row r="266">
          <cell r="B266" t="str">
            <v>MT5313381</v>
          </cell>
          <cell r="C266">
            <v>94990</v>
          </cell>
          <cell r="D266">
            <v>9790</v>
          </cell>
          <cell r="E266">
            <v>104780</v>
          </cell>
          <cell r="F266">
            <v>9.3000000000000007</v>
          </cell>
          <cell r="G266">
            <v>104780</v>
          </cell>
          <cell r="H266">
            <v>94990</v>
          </cell>
          <cell r="I266">
            <v>9790</v>
          </cell>
          <cell r="J266">
            <v>9.3000000000000007</v>
          </cell>
        </row>
        <row r="267">
          <cell r="B267" t="str">
            <v>MT5313382</v>
          </cell>
          <cell r="C267">
            <v>94850</v>
          </cell>
          <cell r="D267">
            <v>9750</v>
          </cell>
          <cell r="E267">
            <v>104600</v>
          </cell>
          <cell r="F267">
            <v>9.3000000000000007</v>
          </cell>
          <cell r="G267">
            <v>104680</v>
          </cell>
          <cell r="H267">
            <v>94920</v>
          </cell>
          <cell r="I267">
            <v>9770</v>
          </cell>
          <cell r="J267">
            <v>9.3299390072073702</v>
          </cell>
        </row>
        <row r="268">
          <cell r="B268" t="str">
            <v>MT5313383</v>
          </cell>
          <cell r="C268">
            <v>95820</v>
          </cell>
          <cell r="D268">
            <v>9830</v>
          </cell>
          <cell r="E268">
            <v>105650</v>
          </cell>
          <cell r="F268">
            <v>9.3000000000000007</v>
          </cell>
          <cell r="G268">
            <v>105010</v>
          </cell>
          <cell r="H268">
            <v>95220</v>
          </cell>
          <cell r="I268">
            <v>9790</v>
          </cell>
          <cell r="J268">
            <v>9.3218294479150803</v>
          </cell>
        </row>
        <row r="269">
          <cell r="B269" t="str">
            <v>MT5313384</v>
          </cell>
          <cell r="C269">
            <v>95130</v>
          </cell>
          <cell r="D269">
            <v>8430</v>
          </cell>
          <cell r="E269">
            <v>103560</v>
          </cell>
          <cell r="F269">
            <v>8.1</v>
          </cell>
          <cell r="G269">
            <v>104650</v>
          </cell>
          <cell r="H269">
            <v>95200</v>
          </cell>
          <cell r="I269">
            <v>9450</v>
          </cell>
          <cell r="J269">
            <v>9.0299677006287862</v>
          </cell>
        </row>
        <row r="270">
          <cell r="B270" t="str">
            <v>MT5313385</v>
          </cell>
          <cell r="C270">
            <v>96410</v>
          </cell>
          <cell r="D270">
            <v>8490</v>
          </cell>
          <cell r="E270">
            <v>104900</v>
          </cell>
          <cell r="F270">
            <v>8.1</v>
          </cell>
          <cell r="G270">
            <v>104700</v>
          </cell>
          <cell r="H270">
            <v>95440</v>
          </cell>
          <cell r="I270">
            <v>9260</v>
          </cell>
          <cell r="J270">
            <v>8.8420312640287939</v>
          </cell>
        </row>
        <row r="271">
          <cell r="B271" t="str">
            <v>MT5313386</v>
          </cell>
          <cell r="C271">
            <v>94890</v>
          </cell>
          <cell r="D271">
            <v>8850</v>
          </cell>
          <cell r="E271">
            <v>103740</v>
          </cell>
          <cell r="F271">
            <v>8.5</v>
          </cell>
          <cell r="G271">
            <v>104540</v>
          </cell>
          <cell r="H271">
            <v>95350</v>
          </cell>
          <cell r="I271">
            <v>9190</v>
          </cell>
          <cell r="J271">
            <v>8.7902451779126238</v>
          </cell>
        </row>
        <row r="272">
          <cell r="B272" t="str">
            <v>MT5313387</v>
          </cell>
          <cell r="C272">
            <v>94390</v>
          </cell>
          <cell r="D272">
            <v>8750</v>
          </cell>
          <cell r="E272">
            <v>103140</v>
          </cell>
          <cell r="F272">
            <v>8.5</v>
          </cell>
          <cell r="G272">
            <v>104340</v>
          </cell>
          <cell r="H272">
            <v>95210</v>
          </cell>
          <cell r="I272">
            <v>9130</v>
          </cell>
          <cell r="J272">
            <v>8.7472410714774718</v>
          </cell>
        </row>
        <row r="273">
          <cell r="B273" t="str">
            <v>MT5313388</v>
          </cell>
          <cell r="C273" t="str">
            <v/>
          </cell>
          <cell r="D273" t="str">
            <v/>
          </cell>
          <cell r="E273" t="e">
            <v>#VALUE!</v>
          </cell>
          <cell r="F273" t="str">
            <v/>
          </cell>
          <cell r="G273" t="str">
            <v/>
          </cell>
          <cell r="H273" t="str">
            <v/>
          </cell>
          <cell r="I273" t="str">
            <v/>
          </cell>
          <cell r="J273" t="str">
            <v/>
          </cell>
        </row>
        <row r="274">
          <cell r="B274" t="str">
            <v>MT5313389</v>
          </cell>
          <cell r="C274" t="str">
            <v/>
          </cell>
          <cell r="D274" t="str">
            <v/>
          </cell>
          <cell r="E274" t="e">
            <v>#VALUE!</v>
          </cell>
          <cell r="F274" t="str">
            <v/>
          </cell>
          <cell r="G274" t="str">
            <v/>
          </cell>
          <cell r="H274" t="str">
            <v/>
          </cell>
          <cell r="I274" t="str">
            <v/>
          </cell>
          <cell r="J274" t="str">
            <v/>
          </cell>
        </row>
        <row r="275">
          <cell r="B275" t="str">
            <v>MT53133810</v>
          </cell>
          <cell r="C275" t="str">
            <v/>
          </cell>
          <cell r="D275" t="str">
            <v/>
          </cell>
          <cell r="E275" t="e">
            <v>#VALUE!</v>
          </cell>
          <cell r="F275" t="str">
            <v/>
          </cell>
          <cell r="G275" t="str">
            <v/>
          </cell>
          <cell r="H275" t="str">
            <v/>
          </cell>
          <cell r="I275" t="str">
            <v/>
          </cell>
          <cell r="J275" t="str">
            <v/>
          </cell>
        </row>
        <row r="276">
          <cell r="B276" t="str">
            <v>MT53133811</v>
          </cell>
          <cell r="C276" t="str">
            <v/>
          </cell>
          <cell r="D276" t="str">
            <v/>
          </cell>
          <cell r="E276" t="e">
            <v>#VALUE!</v>
          </cell>
          <cell r="F276" t="str">
            <v/>
          </cell>
          <cell r="G276" t="str">
            <v/>
          </cell>
          <cell r="H276" t="str">
            <v/>
          </cell>
          <cell r="I276" t="str">
            <v/>
          </cell>
          <cell r="J276" t="str">
            <v/>
          </cell>
        </row>
        <row r="277">
          <cell r="B277" t="str">
            <v>MT53133812</v>
          </cell>
          <cell r="C277" t="str">
            <v/>
          </cell>
          <cell r="D277" t="str">
            <v/>
          </cell>
          <cell r="E277" t="e">
            <v>#VALUE!</v>
          </cell>
          <cell r="F277" t="str">
            <v/>
          </cell>
          <cell r="G277" t="str">
            <v/>
          </cell>
          <cell r="H277" t="str">
            <v/>
          </cell>
          <cell r="I277" t="str">
            <v/>
          </cell>
          <cell r="J277" t="str">
            <v/>
          </cell>
        </row>
        <row r="278">
          <cell r="B278" t="str">
            <v>MC5347461</v>
          </cell>
          <cell r="C278">
            <v>27620</v>
          </cell>
          <cell r="D278">
            <v>2630</v>
          </cell>
          <cell r="E278">
            <v>30250</v>
          </cell>
          <cell r="F278">
            <v>8.6999999999999993</v>
          </cell>
          <cell r="G278">
            <v>30250</v>
          </cell>
          <cell r="H278">
            <v>27620</v>
          </cell>
          <cell r="I278">
            <v>2630</v>
          </cell>
          <cell r="J278">
            <v>8.6999999999999993</v>
          </cell>
        </row>
        <row r="279">
          <cell r="B279" t="str">
            <v>MC5347462</v>
          </cell>
          <cell r="C279">
            <v>28030</v>
          </cell>
          <cell r="D279">
            <v>2640</v>
          </cell>
          <cell r="E279">
            <v>30670</v>
          </cell>
          <cell r="F279">
            <v>8.6</v>
          </cell>
          <cell r="G279">
            <v>30460</v>
          </cell>
          <cell r="H279">
            <v>27820</v>
          </cell>
          <cell r="I279">
            <v>2630</v>
          </cell>
          <cell r="J279">
            <v>8.6439008373009365</v>
          </cell>
        </row>
        <row r="280">
          <cell r="B280" t="str">
            <v>MC5347463</v>
          </cell>
          <cell r="C280">
            <v>28490</v>
          </cell>
          <cell r="D280">
            <v>2620</v>
          </cell>
          <cell r="E280">
            <v>31110</v>
          </cell>
          <cell r="F280">
            <v>8.4</v>
          </cell>
          <cell r="G280">
            <v>30670</v>
          </cell>
          <cell r="H280">
            <v>28050</v>
          </cell>
          <cell r="I280">
            <v>2630</v>
          </cell>
          <cell r="J280">
            <v>8.5706834161024972</v>
          </cell>
        </row>
        <row r="281">
          <cell r="B281" t="str">
            <v>MC5347464</v>
          </cell>
          <cell r="C281">
            <v>28560</v>
          </cell>
          <cell r="D281">
            <v>2230</v>
          </cell>
          <cell r="E281">
            <v>30790</v>
          </cell>
          <cell r="F281">
            <v>7.2</v>
          </cell>
          <cell r="G281">
            <v>30700</v>
          </cell>
          <cell r="H281">
            <v>28170</v>
          </cell>
          <cell r="I281">
            <v>2530</v>
          </cell>
          <cell r="J281">
            <v>8.2360317227677626</v>
          </cell>
        </row>
        <row r="282">
          <cell r="B282" t="str">
            <v>MC5347465</v>
          </cell>
          <cell r="C282">
            <v>28990</v>
          </cell>
          <cell r="D282">
            <v>2310</v>
          </cell>
          <cell r="E282">
            <v>31300</v>
          </cell>
          <cell r="F282">
            <v>7.4</v>
          </cell>
          <cell r="G282">
            <v>30820</v>
          </cell>
          <cell r="H282">
            <v>28340</v>
          </cell>
          <cell r="I282">
            <v>2490</v>
          </cell>
          <cell r="J282">
            <v>8.0626532916336835</v>
          </cell>
        </row>
        <row r="283">
          <cell r="B283" t="str">
            <v>MC5347466</v>
          </cell>
          <cell r="C283">
            <v>29530</v>
          </cell>
          <cell r="D283">
            <v>2330</v>
          </cell>
          <cell r="E283">
            <v>31860</v>
          </cell>
          <cell r="F283">
            <v>7.3</v>
          </cell>
          <cell r="G283">
            <v>31000</v>
          </cell>
          <cell r="H283">
            <v>28540</v>
          </cell>
          <cell r="I283">
            <v>2460</v>
          </cell>
          <cell r="J283">
            <v>7.9342717955887263</v>
          </cell>
        </row>
        <row r="284">
          <cell r="B284" t="str">
            <v>MC5347467</v>
          </cell>
          <cell r="C284">
            <v>29080</v>
          </cell>
          <cell r="D284">
            <v>2150</v>
          </cell>
          <cell r="E284">
            <v>31230</v>
          </cell>
          <cell r="F284">
            <v>6.9</v>
          </cell>
          <cell r="G284">
            <v>31030</v>
          </cell>
          <cell r="H284">
            <v>28610</v>
          </cell>
          <cell r="I284">
            <v>2420</v>
          </cell>
          <cell r="J284">
            <v>7.7852002928082431</v>
          </cell>
        </row>
        <row r="285">
          <cell r="B285" t="str">
            <v>MC5347468</v>
          </cell>
          <cell r="C285" t="str">
            <v/>
          </cell>
          <cell r="D285" t="str">
            <v/>
          </cell>
          <cell r="E285" t="e">
            <v>#VALUE!</v>
          </cell>
          <cell r="F285" t="str">
            <v/>
          </cell>
          <cell r="G285" t="str">
            <v/>
          </cell>
          <cell r="H285" t="str">
            <v/>
          </cell>
          <cell r="I285" t="str">
            <v/>
          </cell>
          <cell r="J285" t="str">
            <v/>
          </cell>
        </row>
        <row r="286">
          <cell r="B286" t="str">
            <v>MC5347469</v>
          </cell>
          <cell r="C286" t="str">
            <v/>
          </cell>
          <cell r="D286" t="str">
            <v/>
          </cell>
          <cell r="E286" t="e">
            <v>#VALUE!</v>
          </cell>
          <cell r="F286" t="str">
            <v/>
          </cell>
          <cell r="G286" t="str">
            <v/>
          </cell>
          <cell r="H286" t="str">
            <v/>
          </cell>
          <cell r="I286" t="str">
            <v/>
          </cell>
          <cell r="J286" t="str">
            <v/>
          </cell>
        </row>
        <row r="287">
          <cell r="B287" t="str">
            <v>MC53474610</v>
          </cell>
          <cell r="C287" t="str">
            <v/>
          </cell>
          <cell r="D287" t="str">
            <v/>
          </cell>
          <cell r="E287" t="e">
            <v>#VALUE!</v>
          </cell>
          <cell r="F287" t="str">
            <v/>
          </cell>
          <cell r="G287" t="str">
            <v/>
          </cell>
          <cell r="H287" t="str">
            <v/>
          </cell>
          <cell r="I287" t="str">
            <v/>
          </cell>
          <cell r="J287" t="str">
            <v/>
          </cell>
        </row>
        <row r="288">
          <cell r="B288" t="str">
            <v>MC53474611</v>
          </cell>
          <cell r="C288" t="str">
            <v/>
          </cell>
          <cell r="D288" t="str">
            <v/>
          </cell>
          <cell r="E288" t="e">
            <v>#VALUE!</v>
          </cell>
          <cell r="F288" t="str">
            <v/>
          </cell>
          <cell r="G288" t="str">
            <v/>
          </cell>
          <cell r="H288" t="str">
            <v/>
          </cell>
          <cell r="I288" t="str">
            <v/>
          </cell>
          <cell r="J288" t="str">
            <v/>
          </cell>
        </row>
        <row r="289">
          <cell r="B289" t="str">
            <v>MC53474612</v>
          </cell>
          <cell r="C289" t="str">
            <v/>
          </cell>
          <cell r="D289" t="str">
            <v/>
          </cell>
          <cell r="E289" t="e">
            <v>#VALUE!</v>
          </cell>
          <cell r="F289" t="str">
            <v/>
          </cell>
          <cell r="G289" t="str">
            <v/>
          </cell>
          <cell r="H289" t="str">
            <v/>
          </cell>
          <cell r="I289" t="str">
            <v/>
          </cell>
          <cell r="J289" t="str">
            <v/>
          </cell>
        </row>
        <row r="290">
          <cell r="B290" t="str">
            <v>MC5343221</v>
          </cell>
          <cell r="C290">
            <v>22260</v>
          </cell>
          <cell r="D290">
            <v>2900</v>
          </cell>
          <cell r="E290">
            <v>25160</v>
          </cell>
          <cell r="F290">
            <v>11.5</v>
          </cell>
          <cell r="G290">
            <v>25160</v>
          </cell>
          <cell r="H290">
            <v>22260</v>
          </cell>
          <cell r="I290">
            <v>2900</v>
          </cell>
          <cell r="J290">
            <v>11.5</v>
          </cell>
        </row>
        <row r="291">
          <cell r="B291" t="str">
            <v>MC5343222</v>
          </cell>
          <cell r="C291">
            <v>22140</v>
          </cell>
          <cell r="D291">
            <v>3050</v>
          </cell>
          <cell r="E291">
            <v>25190</v>
          </cell>
          <cell r="F291">
            <v>12.1</v>
          </cell>
          <cell r="G291">
            <v>25170</v>
          </cell>
          <cell r="H291">
            <v>22200</v>
          </cell>
          <cell r="I291">
            <v>2980</v>
          </cell>
          <cell r="J291">
            <v>11.828149207484209</v>
          </cell>
        </row>
        <row r="292">
          <cell r="B292" t="str">
            <v>MC5343223</v>
          </cell>
          <cell r="C292">
            <v>22190</v>
          </cell>
          <cell r="D292">
            <v>2920</v>
          </cell>
          <cell r="E292">
            <v>25110</v>
          </cell>
          <cell r="F292">
            <v>11.6</v>
          </cell>
          <cell r="G292">
            <v>25150</v>
          </cell>
          <cell r="H292">
            <v>22190</v>
          </cell>
          <cell r="I292">
            <v>2960</v>
          </cell>
          <cell r="J292">
            <v>11.75901506818453</v>
          </cell>
        </row>
        <row r="293">
          <cell r="B293" t="str">
            <v>MC5343224</v>
          </cell>
          <cell r="C293">
            <v>22160</v>
          </cell>
          <cell r="D293">
            <v>2640</v>
          </cell>
          <cell r="E293">
            <v>24800</v>
          </cell>
          <cell r="F293">
            <v>10.6</v>
          </cell>
          <cell r="G293">
            <v>25060</v>
          </cell>
          <cell r="H293">
            <v>22190</v>
          </cell>
          <cell r="I293">
            <v>2880</v>
          </cell>
          <cell r="J293">
            <v>11.484370324562629</v>
          </cell>
        </row>
        <row r="294">
          <cell r="B294" t="str">
            <v>MC5343225</v>
          </cell>
          <cell r="C294">
            <v>22310</v>
          </cell>
          <cell r="D294">
            <v>2630</v>
          </cell>
          <cell r="E294">
            <v>24940</v>
          </cell>
          <cell r="F294">
            <v>10.5</v>
          </cell>
          <cell r="G294">
            <v>25040</v>
          </cell>
          <cell r="H294">
            <v>22210</v>
          </cell>
          <cell r="I294">
            <v>2830</v>
          </cell>
          <cell r="J294">
            <v>11.297575781780424</v>
          </cell>
        </row>
        <row r="295">
          <cell r="B295" t="str">
            <v>MC5343226</v>
          </cell>
          <cell r="C295">
            <v>22250</v>
          </cell>
          <cell r="D295">
            <v>2650</v>
          </cell>
          <cell r="E295">
            <v>24900</v>
          </cell>
          <cell r="F295">
            <v>10.6</v>
          </cell>
          <cell r="G295">
            <v>25020</v>
          </cell>
          <cell r="H295">
            <v>22220</v>
          </cell>
          <cell r="I295">
            <v>2800</v>
          </cell>
          <cell r="J295">
            <v>11.189211878127269</v>
          </cell>
        </row>
        <row r="296">
          <cell r="B296" t="str">
            <v>MC5343227</v>
          </cell>
          <cell r="C296">
            <v>21930</v>
          </cell>
          <cell r="D296">
            <v>2530</v>
          </cell>
          <cell r="E296">
            <v>24460</v>
          </cell>
          <cell r="F296">
            <v>10.3</v>
          </cell>
          <cell r="G296">
            <v>24940</v>
          </cell>
          <cell r="H296">
            <v>22180</v>
          </cell>
          <cell r="I296">
            <v>2760</v>
          </cell>
          <cell r="J296">
            <v>11.071518595751506</v>
          </cell>
        </row>
        <row r="297">
          <cell r="B297" t="str">
            <v>MC5343228</v>
          </cell>
          <cell r="C297" t="str">
            <v/>
          </cell>
          <cell r="D297" t="str">
            <v/>
          </cell>
          <cell r="E297" t="e">
            <v>#VALUE!</v>
          </cell>
          <cell r="F297" t="str">
            <v/>
          </cell>
          <cell r="G297" t="str">
            <v/>
          </cell>
          <cell r="H297" t="str">
            <v/>
          </cell>
          <cell r="I297" t="str">
            <v/>
          </cell>
          <cell r="J297" t="str">
            <v/>
          </cell>
        </row>
        <row r="298">
          <cell r="B298" t="str">
            <v>MC5343229</v>
          </cell>
          <cell r="C298" t="str">
            <v/>
          </cell>
          <cell r="D298" t="str">
            <v/>
          </cell>
          <cell r="E298" t="e">
            <v>#VALUE!</v>
          </cell>
          <cell r="F298" t="str">
            <v/>
          </cell>
          <cell r="G298" t="str">
            <v/>
          </cell>
          <cell r="H298" t="str">
            <v/>
          </cell>
          <cell r="I298" t="str">
            <v/>
          </cell>
          <cell r="J298" t="str">
            <v/>
          </cell>
        </row>
        <row r="299">
          <cell r="B299" t="str">
            <v>MC53432210</v>
          </cell>
          <cell r="C299" t="str">
            <v/>
          </cell>
          <cell r="D299" t="str">
            <v/>
          </cell>
          <cell r="E299" t="e">
            <v>#VALUE!</v>
          </cell>
          <cell r="F299" t="str">
            <v/>
          </cell>
          <cell r="G299" t="str">
            <v/>
          </cell>
          <cell r="H299" t="str">
            <v/>
          </cell>
          <cell r="I299" t="str">
            <v/>
          </cell>
          <cell r="J299" t="str">
            <v/>
          </cell>
        </row>
        <row r="300">
          <cell r="B300" t="str">
            <v>MC53432211</v>
          </cell>
          <cell r="C300" t="str">
            <v/>
          </cell>
          <cell r="D300" t="str">
            <v/>
          </cell>
          <cell r="E300" t="e">
            <v>#VALUE!</v>
          </cell>
          <cell r="F300" t="str">
            <v/>
          </cell>
          <cell r="G300" t="str">
            <v/>
          </cell>
          <cell r="H300" t="str">
            <v/>
          </cell>
          <cell r="I300" t="str">
            <v/>
          </cell>
          <cell r="J300" t="str">
            <v/>
          </cell>
        </row>
        <row r="301">
          <cell r="B301" t="str">
            <v>MC53432212</v>
          </cell>
          <cell r="C301" t="str">
            <v/>
          </cell>
          <cell r="D301" t="str">
            <v/>
          </cell>
          <cell r="E301" t="e">
            <v>#VALUE!</v>
          </cell>
          <cell r="F301" t="str">
            <v/>
          </cell>
          <cell r="G301" t="str">
            <v/>
          </cell>
          <cell r="H301" t="str">
            <v/>
          </cell>
          <cell r="I301" t="str">
            <v/>
          </cell>
          <cell r="J301" t="str">
            <v/>
          </cell>
        </row>
        <row r="302">
          <cell r="B302" t="str">
            <v>MC5339421</v>
          </cell>
          <cell r="C302">
            <v>20030</v>
          </cell>
          <cell r="D302">
            <v>1320</v>
          </cell>
          <cell r="E302">
            <v>21350</v>
          </cell>
          <cell r="F302">
            <v>6.2</v>
          </cell>
          <cell r="G302">
            <v>21350</v>
          </cell>
          <cell r="H302">
            <v>20030</v>
          </cell>
          <cell r="I302">
            <v>1320</v>
          </cell>
          <cell r="J302">
            <v>6.2</v>
          </cell>
        </row>
        <row r="303">
          <cell r="B303" t="str">
            <v>MC5339422</v>
          </cell>
          <cell r="C303">
            <v>20890</v>
          </cell>
          <cell r="D303">
            <v>1410</v>
          </cell>
          <cell r="E303">
            <v>22300</v>
          </cell>
          <cell r="F303">
            <v>6.3</v>
          </cell>
          <cell r="G303">
            <v>21830</v>
          </cell>
          <cell r="H303">
            <v>20460</v>
          </cell>
          <cell r="I303">
            <v>1360</v>
          </cell>
          <cell r="J303">
            <v>6.2494272885549345</v>
          </cell>
        </row>
        <row r="304">
          <cell r="B304" t="str">
            <v>MC5339423</v>
          </cell>
          <cell r="C304">
            <v>21180</v>
          </cell>
          <cell r="D304">
            <v>1530</v>
          </cell>
          <cell r="E304">
            <v>22710</v>
          </cell>
          <cell r="F304">
            <v>6.7</v>
          </cell>
          <cell r="G304">
            <v>22120</v>
          </cell>
          <cell r="H304">
            <v>20700</v>
          </cell>
          <cell r="I304">
            <v>1420</v>
          </cell>
          <cell r="J304">
            <v>6.4104882459312842</v>
          </cell>
        </row>
        <row r="305">
          <cell r="B305" t="str">
            <v>MC5339424</v>
          </cell>
          <cell r="C305">
            <v>21330</v>
          </cell>
          <cell r="D305">
            <v>1220</v>
          </cell>
          <cell r="E305">
            <v>22550</v>
          </cell>
          <cell r="F305">
            <v>5.4</v>
          </cell>
          <cell r="G305">
            <v>22230</v>
          </cell>
          <cell r="H305">
            <v>20860</v>
          </cell>
          <cell r="I305">
            <v>1370</v>
          </cell>
          <cell r="J305">
            <v>6.1568570111012386</v>
          </cell>
        </row>
        <row r="306">
          <cell r="B306" t="str">
            <v>MC5339425</v>
          </cell>
          <cell r="C306">
            <v>21520</v>
          </cell>
          <cell r="D306">
            <v>1340</v>
          </cell>
          <cell r="E306">
            <v>22860</v>
          </cell>
          <cell r="F306">
            <v>5.9</v>
          </cell>
          <cell r="G306">
            <v>22350</v>
          </cell>
          <cell r="H306">
            <v>20990</v>
          </cell>
          <cell r="I306">
            <v>1360</v>
          </cell>
          <cell r="J306">
            <v>6.0964480629864894</v>
          </cell>
        </row>
        <row r="307">
          <cell r="B307" t="str">
            <v>MC5339426</v>
          </cell>
          <cell r="C307">
            <v>18560</v>
          </cell>
          <cell r="D307">
            <v>1410</v>
          </cell>
          <cell r="E307">
            <v>19970</v>
          </cell>
          <cell r="F307">
            <v>7</v>
          </cell>
          <cell r="G307">
            <v>21960</v>
          </cell>
          <cell r="H307">
            <v>20590</v>
          </cell>
          <cell r="I307">
            <v>1370</v>
          </cell>
          <cell r="J307">
            <v>6.2388510615687069</v>
          </cell>
        </row>
        <row r="308">
          <cell r="B308" t="str">
            <v>MC5339427</v>
          </cell>
          <cell r="C308">
            <v>17870</v>
          </cell>
          <cell r="D308">
            <v>1460</v>
          </cell>
          <cell r="E308">
            <v>19330</v>
          </cell>
          <cell r="F308">
            <v>7.5</v>
          </cell>
          <cell r="G308">
            <v>21580</v>
          </cell>
          <cell r="H308">
            <v>20200</v>
          </cell>
          <cell r="I308">
            <v>1380</v>
          </cell>
          <cell r="J308">
            <v>6.4049778248494071</v>
          </cell>
        </row>
        <row r="309">
          <cell r="B309" t="str">
            <v>MC5339428</v>
          </cell>
          <cell r="C309" t="str">
            <v/>
          </cell>
          <cell r="D309" t="str">
            <v/>
          </cell>
          <cell r="E309" t="e">
            <v>#VALUE!</v>
          </cell>
          <cell r="F309" t="str">
            <v/>
          </cell>
          <cell r="G309" t="str">
            <v/>
          </cell>
          <cell r="H309" t="str">
            <v/>
          </cell>
          <cell r="I309" t="str">
            <v/>
          </cell>
          <cell r="J309" t="str">
            <v/>
          </cell>
        </row>
        <row r="310">
          <cell r="B310" t="str">
            <v>MC5339429</v>
          </cell>
          <cell r="C310" t="str">
            <v/>
          </cell>
          <cell r="D310" t="str">
            <v/>
          </cell>
          <cell r="E310" t="e">
            <v>#VALUE!</v>
          </cell>
          <cell r="F310" t="str">
            <v/>
          </cell>
          <cell r="G310" t="str">
            <v/>
          </cell>
          <cell r="H310" t="str">
            <v/>
          </cell>
          <cell r="I310" t="str">
            <v/>
          </cell>
          <cell r="J310" t="str">
            <v/>
          </cell>
        </row>
        <row r="311">
          <cell r="B311" t="str">
            <v>MC53394210</v>
          </cell>
          <cell r="C311" t="str">
            <v/>
          </cell>
          <cell r="D311" t="str">
            <v/>
          </cell>
          <cell r="E311" t="e">
            <v>#VALUE!</v>
          </cell>
          <cell r="F311" t="str">
            <v/>
          </cell>
          <cell r="G311" t="str">
            <v/>
          </cell>
          <cell r="H311" t="str">
            <v/>
          </cell>
          <cell r="I311" t="str">
            <v/>
          </cell>
          <cell r="J311" t="str">
            <v/>
          </cell>
        </row>
        <row r="312">
          <cell r="B312" t="str">
            <v>MC53394211</v>
          </cell>
          <cell r="C312" t="str">
            <v/>
          </cell>
          <cell r="D312" t="str">
            <v/>
          </cell>
          <cell r="E312" t="e">
            <v>#VALUE!</v>
          </cell>
          <cell r="F312" t="str">
            <v/>
          </cell>
          <cell r="G312" t="str">
            <v/>
          </cell>
          <cell r="H312" t="str">
            <v/>
          </cell>
          <cell r="I312" t="str">
            <v/>
          </cell>
          <cell r="J312" t="str">
            <v/>
          </cell>
        </row>
        <row r="313">
          <cell r="B313" t="str">
            <v>MC53394212</v>
          </cell>
          <cell r="C313" t="str">
            <v/>
          </cell>
          <cell r="D313" t="str">
            <v/>
          </cell>
          <cell r="E313" t="e">
            <v>#VALUE!</v>
          </cell>
          <cell r="F313" t="str">
            <v/>
          </cell>
          <cell r="G313" t="str">
            <v/>
          </cell>
          <cell r="H313" t="str">
            <v/>
          </cell>
          <cell r="I313" t="str">
            <v/>
          </cell>
          <cell r="J313" t="str">
            <v/>
          </cell>
        </row>
        <row r="314">
          <cell r="B314" t="str">
            <v>MC5338821</v>
          </cell>
          <cell r="C314">
            <v>26590</v>
          </cell>
          <cell r="D314">
            <v>3370</v>
          </cell>
          <cell r="E314">
            <v>29960</v>
          </cell>
          <cell r="F314">
            <v>11.3</v>
          </cell>
          <cell r="G314">
            <v>29960</v>
          </cell>
          <cell r="H314">
            <v>26590</v>
          </cell>
          <cell r="I314">
            <v>3370</v>
          </cell>
          <cell r="J314">
            <v>11.3</v>
          </cell>
        </row>
        <row r="315">
          <cell r="B315" t="str">
            <v>MC5338822</v>
          </cell>
          <cell r="C315">
            <v>26680</v>
          </cell>
          <cell r="D315">
            <v>3320</v>
          </cell>
          <cell r="E315">
            <v>30000</v>
          </cell>
          <cell r="F315">
            <v>11.1</v>
          </cell>
          <cell r="G315">
            <v>29990</v>
          </cell>
          <cell r="H315">
            <v>26640</v>
          </cell>
          <cell r="I315">
            <v>3350</v>
          </cell>
          <cell r="J315">
            <v>11.163915290978823</v>
          </cell>
        </row>
        <row r="316">
          <cell r="B316" t="str">
            <v>MC5338823</v>
          </cell>
          <cell r="C316">
            <v>26590</v>
          </cell>
          <cell r="D316">
            <v>3390</v>
          </cell>
          <cell r="E316">
            <v>29980</v>
          </cell>
          <cell r="F316">
            <v>11.3</v>
          </cell>
          <cell r="G316">
            <v>29980</v>
          </cell>
          <cell r="H316">
            <v>26620</v>
          </cell>
          <cell r="I316">
            <v>3360</v>
          </cell>
          <cell r="J316">
            <v>11.20808503068576</v>
          </cell>
        </row>
        <row r="317">
          <cell r="B317" t="str">
            <v>MC5338824</v>
          </cell>
          <cell r="C317">
            <v>26680</v>
          </cell>
          <cell r="D317">
            <v>2980</v>
          </cell>
          <cell r="E317">
            <v>29660</v>
          </cell>
          <cell r="F317">
            <v>10.1</v>
          </cell>
          <cell r="G317">
            <v>29900</v>
          </cell>
          <cell r="H317">
            <v>26640</v>
          </cell>
          <cell r="I317">
            <v>3270</v>
          </cell>
          <cell r="J317">
            <v>10.921966840296648</v>
          </cell>
        </row>
        <row r="318">
          <cell r="B318" t="str">
            <v>MC5338825</v>
          </cell>
          <cell r="C318">
            <v>26990</v>
          </cell>
          <cell r="D318">
            <v>2960</v>
          </cell>
          <cell r="E318">
            <v>29950</v>
          </cell>
          <cell r="F318">
            <v>9.9</v>
          </cell>
          <cell r="G318">
            <v>29910</v>
          </cell>
          <cell r="H318">
            <v>26710</v>
          </cell>
          <cell r="I318">
            <v>3200</v>
          </cell>
          <cell r="J318">
            <v>10.71438123512263</v>
          </cell>
        </row>
        <row r="319">
          <cell r="B319" t="str">
            <v>MC5338826</v>
          </cell>
          <cell r="C319">
            <v>26480</v>
          </cell>
          <cell r="D319">
            <v>2960</v>
          </cell>
          <cell r="E319">
            <v>29440</v>
          </cell>
          <cell r="F319">
            <v>10.1</v>
          </cell>
          <cell r="G319">
            <v>29830</v>
          </cell>
          <cell r="H319">
            <v>26670</v>
          </cell>
          <cell r="I319">
            <v>3160</v>
          </cell>
          <cell r="J319">
            <v>10.607262569832402</v>
          </cell>
        </row>
        <row r="320">
          <cell r="B320" t="str">
            <v>MC5338827</v>
          </cell>
          <cell r="C320">
            <v>26260</v>
          </cell>
          <cell r="D320">
            <v>2840</v>
          </cell>
          <cell r="E320">
            <v>29100</v>
          </cell>
          <cell r="F320">
            <v>9.8000000000000007</v>
          </cell>
          <cell r="G320">
            <v>29730</v>
          </cell>
          <cell r="H320">
            <v>26610</v>
          </cell>
          <cell r="I320">
            <v>3120</v>
          </cell>
          <cell r="J320">
            <v>10.488808157694933</v>
          </cell>
        </row>
        <row r="321">
          <cell r="B321" t="str">
            <v>MC5338828</v>
          </cell>
          <cell r="C321" t="str">
            <v/>
          </cell>
          <cell r="D321" t="str">
            <v/>
          </cell>
          <cell r="E321" t="e">
            <v>#VALUE!</v>
          </cell>
          <cell r="F321" t="str">
            <v/>
          </cell>
          <cell r="G321" t="str">
            <v/>
          </cell>
          <cell r="H321" t="str">
            <v/>
          </cell>
          <cell r="I321" t="str">
            <v/>
          </cell>
          <cell r="J321" t="str">
            <v/>
          </cell>
        </row>
        <row r="322">
          <cell r="B322" t="str">
            <v>MC5338829</v>
          </cell>
          <cell r="C322" t="str">
            <v/>
          </cell>
          <cell r="D322" t="str">
            <v/>
          </cell>
          <cell r="E322" t="e">
            <v>#VALUE!</v>
          </cell>
          <cell r="F322" t="str">
            <v/>
          </cell>
          <cell r="G322" t="str">
            <v/>
          </cell>
          <cell r="H322" t="str">
            <v/>
          </cell>
          <cell r="I322" t="str">
            <v/>
          </cell>
          <cell r="J322" t="str">
            <v/>
          </cell>
        </row>
        <row r="323">
          <cell r="B323" t="str">
            <v>MC53388210</v>
          </cell>
          <cell r="C323" t="str">
            <v/>
          </cell>
          <cell r="D323" t="str">
            <v/>
          </cell>
          <cell r="E323" t="e">
            <v>#VALUE!</v>
          </cell>
          <cell r="F323" t="str">
            <v/>
          </cell>
          <cell r="G323" t="str">
            <v/>
          </cell>
          <cell r="H323" t="str">
            <v/>
          </cell>
          <cell r="I323" t="str">
            <v/>
          </cell>
          <cell r="J323" t="str">
            <v/>
          </cell>
        </row>
        <row r="324">
          <cell r="B324" t="str">
            <v>MC53388211</v>
          </cell>
          <cell r="C324" t="str">
            <v/>
          </cell>
          <cell r="D324" t="str">
            <v/>
          </cell>
          <cell r="E324" t="e">
            <v>#VALUE!</v>
          </cell>
          <cell r="F324" t="str">
            <v/>
          </cell>
          <cell r="G324" t="str">
            <v/>
          </cell>
          <cell r="H324" t="str">
            <v/>
          </cell>
          <cell r="I324" t="str">
            <v/>
          </cell>
          <cell r="J324" t="str">
            <v/>
          </cell>
        </row>
        <row r="325">
          <cell r="B325" t="str">
            <v>MC53388212</v>
          </cell>
          <cell r="C325" t="str">
            <v/>
          </cell>
          <cell r="D325" t="str">
            <v/>
          </cell>
          <cell r="E325" t="e">
            <v>#VALUE!</v>
          </cell>
          <cell r="F325" t="str">
            <v/>
          </cell>
          <cell r="G325" t="str">
            <v/>
          </cell>
          <cell r="H325" t="str">
            <v/>
          </cell>
          <cell r="I325" t="str">
            <v/>
          </cell>
          <cell r="J325" t="str">
            <v/>
          </cell>
        </row>
        <row r="326">
          <cell r="B326" t="str">
            <v>MC5336021</v>
          </cell>
          <cell r="C326">
            <v>29520</v>
          </cell>
          <cell r="D326">
            <v>3120</v>
          </cell>
          <cell r="E326">
            <v>32640</v>
          </cell>
          <cell r="F326">
            <v>9.5</v>
          </cell>
          <cell r="G326">
            <v>32630</v>
          </cell>
          <cell r="H326">
            <v>29520</v>
          </cell>
          <cell r="I326">
            <v>3120</v>
          </cell>
          <cell r="J326">
            <v>9.5</v>
          </cell>
        </row>
        <row r="327">
          <cell r="B327" t="str">
            <v>MC5336022</v>
          </cell>
          <cell r="C327">
            <v>29470</v>
          </cell>
          <cell r="D327">
            <v>3170</v>
          </cell>
          <cell r="E327">
            <v>32640</v>
          </cell>
          <cell r="F327">
            <v>9.6999999999999993</v>
          </cell>
          <cell r="G327">
            <v>32630</v>
          </cell>
          <cell r="H327">
            <v>29490</v>
          </cell>
          <cell r="I327">
            <v>3140</v>
          </cell>
          <cell r="J327">
            <v>9.6279953422810571</v>
          </cell>
        </row>
        <row r="328">
          <cell r="B328" t="str">
            <v>MC5336023</v>
          </cell>
          <cell r="C328">
            <v>29600</v>
          </cell>
          <cell r="D328">
            <v>3280</v>
          </cell>
          <cell r="E328">
            <v>32880</v>
          </cell>
          <cell r="F328">
            <v>10</v>
          </cell>
          <cell r="G328">
            <v>32710</v>
          </cell>
          <cell r="H328">
            <v>29530</v>
          </cell>
          <cell r="I328">
            <v>3190</v>
          </cell>
          <cell r="J328">
            <v>9.7397701336811213</v>
          </cell>
        </row>
        <row r="329">
          <cell r="B329" t="str">
            <v>MC5336024</v>
          </cell>
          <cell r="C329">
            <v>29390</v>
          </cell>
          <cell r="D329">
            <v>2900</v>
          </cell>
          <cell r="E329">
            <v>32290</v>
          </cell>
          <cell r="F329">
            <v>9</v>
          </cell>
          <cell r="G329">
            <v>32610</v>
          </cell>
          <cell r="H329">
            <v>29490</v>
          </cell>
          <cell r="I329">
            <v>3120</v>
          </cell>
          <cell r="J329">
            <v>9.5531244489761491</v>
          </cell>
        </row>
        <row r="330">
          <cell r="B330" t="str">
            <v>MC5336025</v>
          </cell>
          <cell r="C330">
            <v>29820</v>
          </cell>
          <cell r="D330">
            <v>2940</v>
          </cell>
          <cell r="E330">
            <v>32760</v>
          </cell>
          <cell r="F330">
            <v>9</v>
          </cell>
          <cell r="G330">
            <v>32640</v>
          </cell>
          <cell r="H330">
            <v>29560</v>
          </cell>
          <cell r="I330">
            <v>3080</v>
          </cell>
          <cell r="J330">
            <v>9.4355115446835622</v>
          </cell>
        </row>
        <row r="331">
          <cell r="B331" t="str">
            <v>MC5336026</v>
          </cell>
          <cell r="C331">
            <v>29120</v>
          </cell>
          <cell r="D331">
            <v>3030</v>
          </cell>
          <cell r="E331">
            <v>32150</v>
          </cell>
          <cell r="F331">
            <v>9.4</v>
          </cell>
          <cell r="G331">
            <v>32560</v>
          </cell>
          <cell r="H331">
            <v>29490</v>
          </cell>
          <cell r="I331">
            <v>3070</v>
          </cell>
          <cell r="J331">
            <v>9.4357588229873759</v>
          </cell>
        </row>
        <row r="332">
          <cell r="B332" t="str">
            <v>MC5336027</v>
          </cell>
          <cell r="C332">
            <v>28470</v>
          </cell>
          <cell r="D332">
            <v>2880</v>
          </cell>
          <cell r="E332">
            <v>31350</v>
          </cell>
          <cell r="F332">
            <v>9.1999999999999993</v>
          </cell>
          <cell r="G332">
            <v>32390</v>
          </cell>
          <cell r="H332">
            <v>29340</v>
          </cell>
          <cell r="I332">
            <v>3040</v>
          </cell>
          <cell r="J332">
            <v>9.4011777939522254</v>
          </cell>
        </row>
        <row r="333">
          <cell r="B333" t="str">
            <v>MC5336028</v>
          </cell>
          <cell r="C333" t="str">
            <v/>
          </cell>
          <cell r="D333" t="str">
            <v/>
          </cell>
          <cell r="E333" t="e">
            <v>#VALUE!</v>
          </cell>
          <cell r="F333" t="str">
            <v/>
          </cell>
          <cell r="G333" t="str">
            <v/>
          </cell>
          <cell r="H333" t="str">
            <v/>
          </cell>
          <cell r="I333" t="str">
            <v/>
          </cell>
          <cell r="J333" t="str">
            <v/>
          </cell>
        </row>
        <row r="334">
          <cell r="B334" t="str">
            <v>MC5336029</v>
          </cell>
          <cell r="C334" t="str">
            <v/>
          </cell>
          <cell r="D334" t="str">
            <v/>
          </cell>
          <cell r="E334" t="e">
            <v>#VALUE!</v>
          </cell>
          <cell r="F334" t="str">
            <v/>
          </cell>
          <cell r="G334" t="str">
            <v/>
          </cell>
          <cell r="H334" t="str">
            <v/>
          </cell>
          <cell r="I334" t="str">
            <v/>
          </cell>
          <cell r="J334" t="str">
            <v/>
          </cell>
        </row>
        <row r="335">
          <cell r="B335" t="str">
            <v>MC53360210</v>
          </cell>
          <cell r="C335" t="str">
            <v/>
          </cell>
          <cell r="D335" t="str">
            <v/>
          </cell>
          <cell r="E335" t="e">
            <v>#VALUE!</v>
          </cell>
          <cell r="F335" t="str">
            <v/>
          </cell>
          <cell r="G335" t="str">
            <v/>
          </cell>
          <cell r="H335" t="str">
            <v/>
          </cell>
          <cell r="I335" t="str">
            <v/>
          </cell>
          <cell r="J335" t="str">
            <v/>
          </cell>
        </row>
        <row r="336">
          <cell r="B336" t="str">
            <v>MC53360211</v>
          </cell>
          <cell r="C336" t="str">
            <v/>
          </cell>
          <cell r="D336" t="str">
            <v/>
          </cell>
          <cell r="E336" t="e">
            <v>#VALUE!</v>
          </cell>
          <cell r="F336" t="str">
            <v/>
          </cell>
          <cell r="G336" t="str">
            <v/>
          </cell>
          <cell r="H336" t="str">
            <v/>
          </cell>
          <cell r="I336" t="str">
            <v/>
          </cell>
          <cell r="J336" t="str">
            <v/>
          </cell>
        </row>
        <row r="337">
          <cell r="B337" t="str">
            <v>MC53360212</v>
          </cell>
          <cell r="C337" t="str">
            <v/>
          </cell>
          <cell r="D337" t="str">
            <v/>
          </cell>
          <cell r="E337" t="e">
            <v>#VALUE!</v>
          </cell>
          <cell r="F337" t="str">
            <v/>
          </cell>
          <cell r="G337" t="str">
            <v/>
          </cell>
          <cell r="H337" t="str">
            <v/>
          </cell>
          <cell r="I337" t="str">
            <v/>
          </cell>
          <cell r="J337" t="str">
            <v/>
          </cell>
        </row>
        <row r="338">
          <cell r="B338" t="str">
            <v>MC5334181</v>
          </cell>
          <cell r="C338">
            <v>34410</v>
          </cell>
          <cell r="D338">
            <v>5120</v>
          </cell>
          <cell r="E338">
            <v>39530</v>
          </cell>
          <cell r="F338">
            <v>12.9</v>
          </cell>
          <cell r="G338">
            <v>39520</v>
          </cell>
          <cell r="H338">
            <v>34410</v>
          </cell>
          <cell r="I338">
            <v>5120</v>
          </cell>
          <cell r="J338">
            <v>12.9</v>
          </cell>
        </row>
        <row r="339">
          <cell r="B339" t="str">
            <v>MC5334182</v>
          </cell>
          <cell r="C339">
            <v>34680</v>
          </cell>
          <cell r="D339">
            <v>4830</v>
          </cell>
          <cell r="E339">
            <v>39510</v>
          </cell>
          <cell r="F339">
            <v>12.2</v>
          </cell>
          <cell r="G339">
            <v>39520</v>
          </cell>
          <cell r="H339">
            <v>34550</v>
          </cell>
          <cell r="I339">
            <v>4970</v>
          </cell>
          <cell r="J339">
            <v>12.581608380990941</v>
          </cell>
        </row>
        <row r="340">
          <cell r="B340" t="str">
            <v>MC5334183</v>
          </cell>
          <cell r="C340">
            <v>35220</v>
          </cell>
          <cell r="D340">
            <v>4630</v>
          </cell>
          <cell r="E340">
            <v>39850</v>
          </cell>
          <cell r="F340">
            <v>11.6</v>
          </cell>
          <cell r="G340">
            <v>39630</v>
          </cell>
          <cell r="H340">
            <v>34770</v>
          </cell>
          <cell r="I340">
            <v>4860</v>
          </cell>
          <cell r="J340">
            <v>12.257326469499679</v>
          </cell>
        </row>
        <row r="341">
          <cell r="B341" t="str">
            <v>MC5334184</v>
          </cell>
          <cell r="C341">
            <v>37370</v>
          </cell>
          <cell r="D341">
            <v>3930</v>
          </cell>
          <cell r="E341">
            <v>41300</v>
          </cell>
          <cell r="F341">
            <v>9.5</v>
          </cell>
          <cell r="G341">
            <v>40050</v>
          </cell>
          <cell r="H341">
            <v>35420</v>
          </cell>
          <cell r="I341">
            <v>4620</v>
          </cell>
          <cell r="J341">
            <v>11.547417641073023</v>
          </cell>
        </row>
        <row r="342">
          <cell r="B342" t="str">
            <v>MC5334185</v>
          </cell>
          <cell r="C342">
            <v>38020</v>
          </cell>
          <cell r="D342">
            <v>3980</v>
          </cell>
          <cell r="E342">
            <v>42000</v>
          </cell>
          <cell r="F342">
            <v>9.5</v>
          </cell>
          <cell r="G342">
            <v>40440</v>
          </cell>
          <cell r="H342">
            <v>35940</v>
          </cell>
          <cell r="I342">
            <v>4500</v>
          </cell>
          <cell r="J342">
            <v>11.118255424594794</v>
          </cell>
        </row>
        <row r="343">
          <cell r="B343" t="str">
            <v>MC5334186</v>
          </cell>
          <cell r="C343">
            <v>40440</v>
          </cell>
          <cell r="D343">
            <v>3950</v>
          </cell>
          <cell r="E343">
            <v>44390</v>
          </cell>
          <cell r="F343">
            <v>8.9</v>
          </cell>
          <cell r="G343">
            <v>41100</v>
          </cell>
          <cell r="H343">
            <v>36690</v>
          </cell>
          <cell r="I343">
            <v>4400</v>
          </cell>
          <cell r="J343">
            <v>10.717356390831075</v>
          </cell>
        </row>
        <row r="344">
          <cell r="B344" t="str">
            <v>MC5334187</v>
          </cell>
          <cell r="C344">
            <v>41380</v>
          </cell>
          <cell r="D344">
            <v>3850</v>
          </cell>
          <cell r="E344">
            <v>45230</v>
          </cell>
          <cell r="F344">
            <v>8.5</v>
          </cell>
          <cell r="G344">
            <v>41690</v>
          </cell>
          <cell r="H344">
            <v>37360</v>
          </cell>
          <cell r="I344">
            <v>4320</v>
          </cell>
          <cell r="J344">
            <v>10.374028430821532</v>
          </cell>
        </row>
        <row r="345">
          <cell r="B345" t="str">
            <v>MC5334188</v>
          </cell>
          <cell r="C345" t="str">
            <v/>
          </cell>
          <cell r="D345" t="str">
            <v/>
          </cell>
          <cell r="E345" t="e">
            <v>#VALUE!</v>
          </cell>
          <cell r="F345" t="str">
            <v/>
          </cell>
          <cell r="G345" t="str">
            <v/>
          </cell>
          <cell r="H345" t="str">
            <v/>
          </cell>
          <cell r="I345" t="str">
            <v/>
          </cell>
          <cell r="J345" t="str">
            <v/>
          </cell>
        </row>
        <row r="346">
          <cell r="B346" t="str">
            <v>MC5334189</v>
          </cell>
          <cell r="C346" t="str">
            <v/>
          </cell>
          <cell r="D346" t="str">
            <v/>
          </cell>
          <cell r="E346" t="e">
            <v>#VALUE!</v>
          </cell>
          <cell r="F346" t="str">
            <v/>
          </cell>
          <cell r="G346" t="str">
            <v/>
          </cell>
          <cell r="H346" t="str">
            <v/>
          </cell>
          <cell r="I346" t="str">
            <v/>
          </cell>
          <cell r="J346" t="str">
            <v/>
          </cell>
        </row>
        <row r="347">
          <cell r="B347" t="str">
            <v>MC53341810</v>
          </cell>
          <cell r="C347" t="str">
            <v/>
          </cell>
          <cell r="D347" t="str">
            <v/>
          </cell>
          <cell r="E347" t="e">
            <v>#VALUE!</v>
          </cell>
          <cell r="F347" t="str">
            <v/>
          </cell>
          <cell r="G347" t="str">
            <v/>
          </cell>
          <cell r="H347" t="str">
            <v/>
          </cell>
          <cell r="I347" t="str">
            <v/>
          </cell>
          <cell r="J347" t="str">
            <v/>
          </cell>
        </row>
        <row r="348">
          <cell r="B348" t="str">
            <v>MC53341811</v>
          </cell>
          <cell r="C348" t="str">
            <v/>
          </cell>
          <cell r="D348" t="str">
            <v/>
          </cell>
          <cell r="E348" t="e">
            <v>#VALUE!</v>
          </cell>
          <cell r="F348" t="str">
            <v/>
          </cell>
          <cell r="G348" t="str">
            <v/>
          </cell>
          <cell r="H348" t="str">
            <v/>
          </cell>
          <cell r="I348" t="str">
            <v/>
          </cell>
          <cell r="J348" t="str">
            <v/>
          </cell>
        </row>
        <row r="349">
          <cell r="B349" t="str">
            <v>MC53341812</v>
          </cell>
          <cell r="C349" t="str">
            <v/>
          </cell>
          <cell r="D349" t="str">
            <v/>
          </cell>
          <cell r="E349" t="e">
            <v>#VALUE!</v>
          </cell>
          <cell r="F349" t="str">
            <v/>
          </cell>
          <cell r="G349" t="str">
            <v/>
          </cell>
          <cell r="H349" t="str">
            <v/>
          </cell>
          <cell r="I349" t="str">
            <v/>
          </cell>
          <cell r="J349" t="str">
            <v/>
          </cell>
        </row>
        <row r="350">
          <cell r="B350" t="str">
            <v>MC5321261</v>
          </cell>
          <cell r="C350">
            <v>19180</v>
          </cell>
          <cell r="D350">
            <v>2100</v>
          </cell>
          <cell r="E350">
            <v>21280</v>
          </cell>
          <cell r="F350">
            <v>9.9</v>
          </cell>
          <cell r="G350">
            <v>21280</v>
          </cell>
          <cell r="H350">
            <v>19180</v>
          </cell>
          <cell r="I350">
            <v>2100</v>
          </cell>
          <cell r="J350">
            <v>9.9</v>
          </cell>
        </row>
        <row r="351">
          <cell r="B351" t="str">
            <v>MC5321262</v>
          </cell>
          <cell r="C351">
            <v>19320</v>
          </cell>
          <cell r="D351">
            <v>2080</v>
          </cell>
          <cell r="E351">
            <v>21400</v>
          </cell>
          <cell r="F351">
            <v>9.6999999999999993</v>
          </cell>
          <cell r="G351">
            <v>21340</v>
          </cell>
          <cell r="H351">
            <v>19250</v>
          </cell>
          <cell r="I351">
            <v>2090</v>
          </cell>
          <cell r="J351">
            <v>9.7860473835914981</v>
          </cell>
        </row>
        <row r="352">
          <cell r="B352" t="str">
            <v>MC5321263</v>
          </cell>
          <cell r="C352">
            <v>19560</v>
          </cell>
          <cell r="D352">
            <v>2100</v>
          </cell>
          <cell r="E352">
            <v>21660</v>
          </cell>
          <cell r="F352">
            <v>9.6999999999999993</v>
          </cell>
          <cell r="G352">
            <v>21440</v>
          </cell>
          <cell r="H352">
            <v>19350</v>
          </cell>
          <cell r="I352">
            <v>2090</v>
          </cell>
          <cell r="J352">
            <v>9.7486281032847799</v>
          </cell>
        </row>
        <row r="353">
          <cell r="B353" t="str">
            <v>MC5321264</v>
          </cell>
          <cell r="C353">
            <v>20330</v>
          </cell>
          <cell r="D353">
            <v>1800</v>
          </cell>
          <cell r="E353">
            <v>22130</v>
          </cell>
          <cell r="F353">
            <v>8.1</v>
          </cell>
          <cell r="G353">
            <v>21610</v>
          </cell>
          <cell r="H353">
            <v>19600</v>
          </cell>
          <cell r="I353">
            <v>2020</v>
          </cell>
          <cell r="J353">
            <v>9.3319144998612007</v>
          </cell>
        </row>
        <row r="354">
          <cell r="B354" t="str">
            <v>MC5321265</v>
          </cell>
          <cell r="C354">
            <v>19990</v>
          </cell>
          <cell r="D354">
            <v>1780</v>
          </cell>
          <cell r="E354">
            <v>21770</v>
          </cell>
          <cell r="F354">
            <v>8.1999999999999993</v>
          </cell>
          <cell r="G354">
            <v>21640</v>
          </cell>
          <cell r="H354">
            <v>19670</v>
          </cell>
          <cell r="I354">
            <v>1970</v>
          </cell>
          <cell r="J354">
            <v>9.0973775157552357</v>
          </cell>
        </row>
        <row r="355">
          <cell r="B355" t="str">
            <v>MC5321266</v>
          </cell>
          <cell r="C355">
            <v>20190</v>
          </cell>
          <cell r="D355">
            <v>1780</v>
          </cell>
          <cell r="E355">
            <v>21970</v>
          </cell>
          <cell r="F355">
            <v>8.1</v>
          </cell>
          <cell r="G355">
            <v>21700</v>
          </cell>
          <cell r="H355">
            <v>19760</v>
          </cell>
          <cell r="I355">
            <v>1940</v>
          </cell>
          <cell r="J355">
            <v>8.9282696532546755</v>
          </cell>
        </row>
        <row r="356">
          <cell r="B356" t="str">
            <v>MC5321267</v>
          </cell>
          <cell r="C356">
            <v>18560</v>
          </cell>
          <cell r="D356">
            <v>1740</v>
          </cell>
          <cell r="E356">
            <v>20300</v>
          </cell>
          <cell r="F356">
            <v>8.6</v>
          </cell>
          <cell r="G356">
            <v>21500</v>
          </cell>
          <cell r="H356">
            <v>19590</v>
          </cell>
          <cell r="I356">
            <v>1910</v>
          </cell>
          <cell r="J356">
            <v>8.8811658149873409</v>
          </cell>
        </row>
        <row r="357">
          <cell r="B357" t="str">
            <v>MC5321268</v>
          </cell>
          <cell r="C357" t="str">
            <v/>
          </cell>
          <cell r="D357" t="str">
            <v/>
          </cell>
          <cell r="E357" t="e">
            <v>#VALUE!</v>
          </cell>
          <cell r="F357" t="str">
            <v/>
          </cell>
          <cell r="G357" t="str">
            <v/>
          </cell>
          <cell r="H357" t="str">
            <v/>
          </cell>
          <cell r="I357" t="str">
            <v/>
          </cell>
          <cell r="J357" t="str">
            <v/>
          </cell>
        </row>
        <row r="358">
          <cell r="B358" t="str">
            <v>MC5321269</v>
          </cell>
          <cell r="C358" t="str">
            <v/>
          </cell>
          <cell r="D358" t="str">
            <v/>
          </cell>
          <cell r="E358" t="e">
            <v>#VALUE!</v>
          </cell>
          <cell r="F358" t="str">
            <v/>
          </cell>
          <cell r="G358" t="str">
            <v/>
          </cell>
          <cell r="H358" t="str">
            <v/>
          </cell>
          <cell r="I358" t="str">
            <v/>
          </cell>
          <cell r="J358" t="str">
            <v/>
          </cell>
        </row>
        <row r="359">
          <cell r="B359" t="str">
            <v>MC53212610</v>
          </cell>
          <cell r="C359" t="str">
            <v/>
          </cell>
          <cell r="D359" t="str">
            <v/>
          </cell>
          <cell r="E359" t="e">
            <v>#VALUE!</v>
          </cell>
          <cell r="F359" t="str">
            <v/>
          </cell>
          <cell r="G359" t="str">
            <v/>
          </cell>
          <cell r="H359" t="str">
            <v/>
          </cell>
          <cell r="I359" t="str">
            <v/>
          </cell>
          <cell r="J359" t="str">
            <v/>
          </cell>
        </row>
        <row r="360">
          <cell r="B360" t="str">
            <v>MC53212611</v>
          </cell>
          <cell r="C360" t="str">
            <v/>
          </cell>
          <cell r="D360" t="str">
            <v/>
          </cell>
          <cell r="E360" t="e">
            <v>#VALUE!</v>
          </cell>
          <cell r="F360" t="str">
            <v/>
          </cell>
          <cell r="G360" t="str">
            <v/>
          </cell>
          <cell r="H360" t="str">
            <v/>
          </cell>
          <cell r="I360" t="str">
            <v/>
          </cell>
          <cell r="J360" t="str">
            <v/>
          </cell>
        </row>
        <row r="361">
          <cell r="B361" t="str">
            <v>MC53212612</v>
          </cell>
          <cell r="C361" t="str">
            <v/>
          </cell>
          <cell r="D361" t="str">
            <v/>
          </cell>
          <cell r="E361" t="e">
            <v>#VALUE!</v>
          </cell>
          <cell r="F361" t="str">
            <v/>
          </cell>
          <cell r="G361" t="str">
            <v/>
          </cell>
          <cell r="H361" t="str">
            <v/>
          </cell>
          <cell r="I361" t="str">
            <v/>
          </cell>
          <cell r="J361" t="str">
            <v/>
          </cell>
        </row>
        <row r="362">
          <cell r="B362" t="str">
            <v>MC5316501</v>
          </cell>
          <cell r="C362">
            <v>26230</v>
          </cell>
          <cell r="D362">
            <v>4450</v>
          </cell>
          <cell r="E362">
            <v>30680</v>
          </cell>
          <cell r="F362">
            <v>14.5</v>
          </cell>
          <cell r="G362">
            <v>30680</v>
          </cell>
          <cell r="H362">
            <v>26230</v>
          </cell>
          <cell r="I362">
            <v>4450</v>
          </cell>
          <cell r="J362">
            <v>14.5</v>
          </cell>
        </row>
        <row r="363">
          <cell r="B363" t="str">
            <v>MC5316502</v>
          </cell>
          <cell r="C363">
            <v>26400</v>
          </cell>
          <cell r="D363">
            <v>4400</v>
          </cell>
          <cell r="E363">
            <v>30800</v>
          </cell>
          <cell r="F363">
            <v>14.3</v>
          </cell>
          <cell r="G363">
            <v>30740</v>
          </cell>
          <cell r="H363">
            <v>26320</v>
          </cell>
          <cell r="I363">
            <v>4430</v>
          </cell>
          <cell r="J363">
            <v>14.399102190849502</v>
          </cell>
        </row>
        <row r="364">
          <cell r="B364" t="str">
            <v>MC5316503</v>
          </cell>
          <cell r="C364">
            <v>26540</v>
          </cell>
          <cell r="D364">
            <v>4460</v>
          </cell>
          <cell r="E364">
            <v>31000</v>
          </cell>
          <cell r="F364">
            <v>14.4</v>
          </cell>
          <cell r="G364">
            <v>30830</v>
          </cell>
          <cell r="H364">
            <v>26390</v>
          </cell>
          <cell r="I364">
            <v>4440</v>
          </cell>
          <cell r="J364">
            <v>14.39955883307022</v>
          </cell>
        </row>
        <row r="365">
          <cell r="B365" t="str">
            <v>MC5316504</v>
          </cell>
          <cell r="C365">
            <v>26800</v>
          </cell>
          <cell r="D365">
            <v>4000</v>
          </cell>
          <cell r="E365">
            <v>30800</v>
          </cell>
          <cell r="F365">
            <v>13</v>
          </cell>
          <cell r="G365">
            <v>30820</v>
          </cell>
          <cell r="H365">
            <v>26490</v>
          </cell>
          <cell r="I365">
            <v>4330</v>
          </cell>
          <cell r="J365">
            <v>14.046315447945817</v>
          </cell>
        </row>
        <row r="366">
          <cell r="B366" t="str">
            <v>MC5316505</v>
          </cell>
          <cell r="C366">
            <v>26880</v>
          </cell>
          <cell r="D366">
            <v>3880</v>
          </cell>
          <cell r="E366">
            <v>30760</v>
          </cell>
          <cell r="F366">
            <v>12.6</v>
          </cell>
          <cell r="G366">
            <v>30810</v>
          </cell>
          <cell r="H366">
            <v>26570</v>
          </cell>
          <cell r="I366">
            <v>4240</v>
          </cell>
          <cell r="J366">
            <v>13.761116520610193</v>
          </cell>
        </row>
        <row r="367">
          <cell r="B367" t="str">
            <v>MC5316506</v>
          </cell>
          <cell r="C367">
            <v>26240</v>
          </cell>
          <cell r="D367">
            <v>3860</v>
          </cell>
          <cell r="E367">
            <v>30100</v>
          </cell>
          <cell r="F367">
            <v>12.8</v>
          </cell>
          <cell r="G367">
            <v>30690</v>
          </cell>
          <cell r="H367">
            <v>26510</v>
          </cell>
          <cell r="I367">
            <v>4180</v>
          </cell>
          <cell r="J367">
            <v>13.607137814560186</v>
          </cell>
        </row>
        <row r="368">
          <cell r="B368" t="str">
            <v>MC5316507</v>
          </cell>
          <cell r="C368">
            <v>25900</v>
          </cell>
          <cell r="D368">
            <v>3750</v>
          </cell>
          <cell r="E368">
            <v>29650</v>
          </cell>
          <cell r="F368">
            <v>12.7</v>
          </cell>
          <cell r="G368">
            <v>30540</v>
          </cell>
          <cell r="H368">
            <v>26430</v>
          </cell>
          <cell r="I368">
            <v>4120</v>
          </cell>
          <cell r="J368">
            <v>13.474716197443323</v>
          </cell>
        </row>
        <row r="369">
          <cell r="B369" t="str">
            <v>MC5316508</v>
          </cell>
          <cell r="C369" t="str">
            <v/>
          </cell>
          <cell r="D369" t="str">
            <v/>
          </cell>
          <cell r="E369" t="e">
            <v>#VALUE!</v>
          </cell>
          <cell r="F369" t="str">
            <v/>
          </cell>
          <cell r="G369" t="str">
            <v/>
          </cell>
          <cell r="H369" t="str">
            <v/>
          </cell>
          <cell r="I369" t="str">
            <v/>
          </cell>
          <cell r="J369" t="str">
            <v/>
          </cell>
        </row>
        <row r="370">
          <cell r="B370" t="str">
            <v>MC5316509</v>
          </cell>
          <cell r="C370" t="str">
            <v/>
          </cell>
          <cell r="D370" t="str">
            <v/>
          </cell>
          <cell r="E370" t="e">
            <v>#VALUE!</v>
          </cell>
          <cell r="F370" t="str">
            <v/>
          </cell>
          <cell r="G370" t="str">
            <v/>
          </cell>
          <cell r="H370" t="str">
            <v/>
          </cell>
          <cell r="I370" t="str">
            <v/>
          </cell>
          <cell r="J370" t="str">
            <v/>
          </cell>
        </row>
        <row r="371">
          <cell r="B371" t="str">
            <v>MC53165010</v>
          </cell>
          <cell r="C371" t="str">
            <v/>
          </cell>
          <cell r="D371" t="str">
            <v/>
          </cell>
          <cell r="E371" t="e">
            <v>#VALUE!</v>
          </cell>
          <cell r="F371" t="str">
            <v/>
          </cell>
          <cell r="G371" t="str">
            <v/>
          </cell>
          <cell r="H371" t="str">
            <v/>
          </cell>
          <cell r="I371" t="str">
            <v/>
          </cell>
          <cell r="J371" t="str">
            <v/>
          </cell>
        </row>
        <row r="372">
          <cell r="B372" t="str">
            <v>MC53165011</v>
          </cell>
          <cell r="C372" t="str">
            <v/>
          </cell>
          <cell r="D372" t="str">
            <v/>
          </cell>
          <cell r="E372" t="e">
            <v>#VALUE!</v>
          </cell>
          <cell r="F372" t="str">
            <v/>
          </cell>
          <cell r="G372" t="str">
            <v/>
          </cell>
          <cell r="H372" t="str">
            <v/>
          </cell>
          <cell r="I372" t="str">
            <v/>
          </cell>
          <cell r="J372" t="str">
            <v/>
          </cell>
        </row>
        <row r="373">
          <cell r="B373" t="str">
            <v>MC53165012</v>
          </cell>
          <cell r="C373" t="str">
            <v/>
          </cell>
          <cell r="D373" t="str">
            <v/>
          </cell>
          <cell r="E373" t="e">
            <v>#VALUE!</v>
          </cell>
          <cell r="F373" t="str">
            <v/>
          </cell>
          <cell r="G373" t="str">
            <v/>
          </cell>
          <cell r="H373" t="str">
            <v/>
          </cell>
          <cell r="I373" t="str">
            <v/>
          </cell>
          <cell r="J373" t="str">
            <v/>
          </cell>
        </row>
        <row r="374">
          <cell r="B374" t="str">
            <v>MC5310141</v>
          </cell>
          <cell r="C374">
            <v>25710</v>
          </cell>
          <cell r="D374">
            <v>4220</v>
          </cell>
          <cell r="E374">
            <v>29930</v>
          </cell>
          <cell r="F374">
            <v>14.1</v>
          </cell>
          <cell r="G374">
            <v>29930</v>
          </cell>
          <cell r="H374">
            <v>25710</v>
          </cell>
          <cell r="I374">
            <v>4220</v>
          </cell>
          <cell r="J374">
            <v>14.1</v>
          </cell>
        </row>
        <row r="375">
          <cell r="B375" t="str">
            <v>MC5310142</v>
          </cell>
          <cell r="C375">
            <v>25710</v>
          </cell>
          <cell r="D375">
            <v>4160</v>
          </cell>
          <cell r="E375">
            <v>29870</v>
          </cell>
          <cell r="F375">
            <v>13.9</v>
          </cell>
          <cell r="G375">
            <v>29900</v>
          </cell>
          <cell r="H375">
            <v>25710</v>
          </cell>
          <cell r="I375">
            <v>4190</v>
          </cell>
          <cell r="J375">
            <v>14.01598769148438</v>
          </cell>
        </row>
        <row r="376">
          <cell r="B376" t="str">
            <v>MC5310143</v>
          </cell>
          <cell r="C376">
            <v>25520</v>
          </cell>
          <cell r="D376">
            <v>4240</v>
          </cell>
          <cell r="E376">
            <v>29760</v>
          </cell>
          <cell r="F376">
            <v>14.2</v>
          </cell>
          <cell r="G376">
            <v>29850</v>
          </cell>
          <cell r="H376">
            <v>25650</v>
          </cell>
          <cell r="I376">
            <v>4210</v>
          </cell>
          <cell r="J376">
            <v>14.091269442490425</v>
          </cell>
        </row>
        <row r="377">
          <cell r="B377" t="str">
            <v>MC5310144</v>
          </cell>
          <cell r="C377">
            <v>25590</v>
          </cell>
          <cell r="D377">
            <v>3760</v>
          </cell>
          <cell r="E377">
            <v>29350</v>
          </cell>
          <cell r="F377">
            <v>12.8</v>
          </cell>
          <cell r="G377">
            <v>29730</v>
          </cell>
          <cell r="H377">
            <v>25630</v>
          </cell>
          <cell r="I377">
            <v>4090</v>
          </cell>
          <cell r="J377">
            <v>13.772570919152585</v>
          </cell>
        </row>
        <row r="378">
          <cell r="B378" t="str">
            <v>MC5310145</v>
          </cell>
          <cell r="C378">
            <v>25750</v>
          </cell>
          <cell r="D378">
            <v>3790</v>
          </cell>
          <cell r="E378">
            <v>29540</v>
          </cell>
          <cell r="F378">
            <v>12.8</v>
          </cell>
          <cell r="G378">
            <v>29690</v>
          </cell>
          <cell r="H378">
            <v>25650</v>
          </cell>
          <cell r="I378">
            <v>4030</v>
          </cell>
          <cell r="J378">
            <v>13.586052183051626</v>
          </cell>
        </row>
        <row r="379">
          <cell r="B379" t="str">
            <v>MC5310146</v>
          </cell>
          <cell r="C379">
            <v>26380</v>
          </cell>
          <cell r="D379">
            <v>3960</v>
          </cell>
          <cell r="E379">
            <v>30340</v>
          </cell>
          <cell r="F379">
            <v>13.1</v>
          </cell>
          <cell r="G379">
            <v>29800</v>
          </cell>
          <cell r="H379">
            <v>25770</v>
          </cell>
          <cell r="I379">
            <v>4020</v>
          </cell>
          <cell r="J379">
            <v>13.49711095822216</v>
          </cell>
        </row>
        <row r="380">
          <cell r="B380" t="str">
            <v>MC5310147</v>
          </cell>
          <cell r="C380">
            <v>26190</v>
          </cell>
          <cell r="D380">
            <v>3800</v>
          </cell>
          <cell r="E380">
            <v>29990</v>
          </cell>
          <cell r="F380">
            <v>12.7</v>
          </cell>
          <cell r="G380">
            <v>29820</v>
          </cell>
          <cell r="H380">
            <v>25830</v>
          </cell>
          <cell r="I380">
            <v>3990</v>
          </cell>
          <cell r="J380">
            <v>13.376891498972521</v>
          </cell>
        </row>
        <row r="381">
          <cell r="B381" t="str">
            <v>MC5310148</v>
          </cell>
          <cell r="C381" t="str">
            <v/>
          </cell>
          <cell r="D381" t="str">
            <v/>
          </cell>
          <cell r="E381" t="e">
            <v>#VALUE!</v>
          </cell>
          <cell r="F381" t="str">
            <v/>
          </cell>
          <cell r="G381" t="str">
            <v/>
          </cell>
          <cell r="H381" t="str">
            <v/>
          </cell>
          <cell r="I381" t="str">
            <v/>
          </cell>
          <cell r="J381" t="str">
            <v/>
          </cell>
        </row>
        <row r="382">
          <cell r="B382" t="str">
            <v>MC5310149</v>
          </cell>
          <cell r="C382" t="str">
            <v/>
          </cell>
          <cell r="D382" t="str">
            <v/>
          </cell>
          <cell r="E382" t="e">
            <v>#VALUE!</v>
          </cell>
          <cell r="F382" t="str">
            <v/>
          </cell>
          <cell r="G382" t="str">
            <v/>
          </cell>
          <cell r="H382" t="str">
            <v/>
          </cell>
          <cell r="I382" t="str">
            <v/>
          </cell>
          <cell r="J382" t="str">
            <v/>
          </cell>
        </row>
        <row r="383">
          <cell r="B383" t="str">
            <v>MC53101410</v>
          </cell>
          <cell r="C383" t="str">
            <v/>
          </cell>
          <cell r="D383" t="str">
            <v/>
          </cell>
          <cell r="E383" t="e">
            <v>#VALUE!</v>
          </cell>
          <cell r="F383" t="str">
            <v/>
          </cell>
          <cell r="G383" t="str">
            <v/>
          </cell>
          <cell r="H383" t="str">
            <v/>
          </cell>
          <cell r="I383" t="str">
            <v/>
          </cell>
          <cell r="J383" t="str">
            <v/>
          </cell>
        </row>
        <row r="384">
          <cell r="B384" t="str">
            <v>MC53101411</v>
          </cell>
          <cell r="C384" t="str">
            <v/>
          </cell>
          <cell r="D384" t="str">
            <v/>
          </cell>
          <cell r="E384" t="e">
            <v>#VALUE!</v>
          </cell>
          <cell r="F384" t="str">
            <v/>
          </cell>
          <cell r="G384" t="str">
            <v/>
          </cell>
          <cell r="H384" t="str">
            <v/>
          </cell>
          <cell r="I384" t="str">
            <v/>
          </cell>
          <cell r="J384" t="str">
            <v/>
          </cell>
        </row>
        <row r="385">
          <cell r="B385" t="str">
            <v>MC53101412</v>
          </cell>
          <cell r="C385" t="str">
            <v/>
          </cell>
          <cell r="D385" t="str">
            <v/>
          </cell>
          <cell r="E385" t="e">
            <v>#VALUE!</v>
          </cell>
          <cell r="F385" t="str">
            <v/>
          </cell>
          <cell r="G385" t="str">
            <v/>
          </cell>
          <cell r="H385" t="str">
            <v/>
          </cell>
          <cell r="I385" t="str">
            <v/>
          </cell>
          <cell r="J385" t="str">
            <v/>
          </cell>
        </row>
        <row r="386">
          <cell r="B386" t="str">
            <v>IM5338901</v>
          </cell>
          <cell r="C386">
            <v>194120</v>
          </cell>
          <cell r="D386">
            <v>29740</v>
          </cell>
          <cell r="E386">
            <v>223860</v>
          </cell>
          <cell r="F386">
            <v>13.3</v>
          </cell>
          <cell r="G386">
            <v>223860</v>
          </cell>
          <cell r="H386">
            <v>194120</v>
          </cell>
          <cell r="I386">
            <v>29740</v>
          </cell>
          <cell r="J386">
            <v>13.3</v>
          </cell>
        </row>
        <row r="387">
          <cell r="B387" t="str">
            <v>IM5338902</v>
          </cell>
          <cell r="C387">
            <v>194830</v>
          </cell>
          <cell r="D387">
            <v>28970</v>
          </cell>
          <cell r="E387">
            <v>223800</v>
          </cell>
          <cell r="F387">
            <v>12.9</v>
          </cell>
          <cell r="G387">
            <v>223830</v>
          </cell>
          <cell r="H387">
            <v>194480</v>
          </cell>
          <cell r="I387">
            <v>29360</v>
          </cell>
          <cell r="J387">
            <v>11.971883911899818</v>
          </cell>
        </row>
        <row r="388">
          <cell r="B388" t="str">
            <v>IM5338903</v>
          </cell>
          <cell r="C388">
            <v>194290</v>
          </cell>
          <cell r="D388">
            <v>29100</v>
          </cell>
          <cell r="E388">
            <v>223390</v>
          </cell>
          <cell r="F388">
            <v>13</v>
          </cell>
          <cell r="G388">
            <v>223690</v>
          </cell>
          <cell r="H388">
            <v>194420</v>
          </cell>
          <cell r="I388">
            <v>29270</v>
          </cell>
          <cell r="J388">
            <v>11.766171887352176</v>
          </cell>
        </row>
        <row r="389">
          <cell r="B389" t="str">
            <v>IM5338904</v>
          </cell>
          <cell r="C389">
            <v>194290</v>
          </cell>
          <cell r="D389">
            <v>28460</v>
          </cell>
          <cell r="E389">
            <v>222750</v>
          </cell>
          <cell r="F389">
            <v>12.8</v>
          </cell>
          <cell r="G389">
            <v>223450</v>
          </cell>
          <cell r="H389">
            <v>194380</v>
          </cell>
          <cell r="I389">
            <v>29070</v>
          </cell>
          <cell r="J389">
            <v>11.451295089406708</v>
          </cell>
        </row>
        <row r="390">
          <cell r="B390" t="str">
            <v>IM5338905</v>
          </cell>
          <cell r="C390">
            <v>194780</v>
          </cell>
          <cell r="D390">
            <v>28390</v>
          </cell>
          <cell r="E390">
            <v>223170</v>
          </cell>
          <cell r="F390">
            <v>12.7</v>
          </cell>
          <cell r="G390">
            <v>223400</v>
          </cell>
          <cell r="H390">
            <v>194460</v>
          </cell>
          <cell r="I390">
            <v>28930</v>
          </cell>
          <cell r="J390">
            <v>11.058892555081275</v>
          </cell>
        </row>
        <row r="391">
          <cell r="B391" t="str">
            <v>IM5338906</v>
          </cell>
          <cell r="C391">
            <v>191880</v>
          </cell>
          <cell r="D391">
            <v>27000</v>
          </cell>
          <cell r="E391">
            <v>218880</v>
          </cell>
          <cell r="F391">
            <v>12.3</v>
          </cell>
          <cell r="G391">
            <v>222650</v>
          </cell>
          <cell r="H391">
            <v>194030</v>
          </cell>
          <cell r="I391">
            <v>28610</v>
          </cell>
          <cell r="J391">
            <v>10.425006801663491</v>
          </cell>
        </row>
        <row r="392">
          <cell r="B392" t="str">
            <v>IM5338907</v>
          </cell>
          <cell r="C392">
            <v>187810</v>
          </cell>
          <cell r="D392">
            <v>21180</v>
          </cell>
          <cell r="E392">
            <v>208990</v>
          </cell>
          <cell r="F392">
            <v>10.1</v>
          </cell>
          <cell r="G392">
            <v>220690</v>
          </cell>
          <cell r="H392">
            <v>193140</v>
          </cell>
          <cell r="I392">
            <v>27550</v>
          </cell>
          <cell r="J392">
            <v>9.1157209884503079</v>
          </cell>
        </row>
        <row r="393">
          <cell r="B393" t="str">
            <v>IM5338908</v>
          </cell>
          <cell r="C393" t="str">
            <v/>
          </cell>
          <cell r="D393" t="str">
            <v/>
          </cell>
          <cell r="E393" t="e">
            <v>#VALUE!</v>
          </cell>
          <cell r="F393" t="str">
            <v/>
          </cell>
          <cell r="G393" t="str">
            <v/>
          </cell>
          <cell r="H393" t="str">
            <v/>
          </cell>
          <cell r="I393" t="str">
            <v/>
          </cell>
          <cell r="J393" t="str">
            <v/>
          </cell>
        </row>
        <row r="394">
          <cell r="B394" t="str">
            <v>IM5338909</v>
          </cell>
          <cell r="C394" t="str">
            <v/>
          </cell>
          <cell r="D394" t="str">
            <v/>
          </cell>
          <cell r="E394" t="e">
            <v>#VALUE!</v>
          </cell>
          <cell r="F394" t="str">
            <v/>
          </cell>
          <cell r="G394" t="str">
            <v/>
          </cell>
          <cell r="H394" t="str">
            <v/>
          </cell>
          <cell r="I394" t="str">
            <v/>
          </cell>
          <cell r="J394" t="str">
            <v/>
          </cell>
        </row>
        <row r="395">
          <cell r="B395" t="str">
            <v>IM53389010</v>
          </cell>
          <cell r="C395" t="str">
            <v/>
          </cell>
          <cell r="D395" t="str">
            <v/>
          </cell>
          <cell r="E395" t="e">
            <v>#VALUE!</v>
          </cell>
          <cell r="F395" t="str">
            <v/>
          </cell>
          <cell r="G395" t="str">
            <v/>
          </cell>
          <cell r="H395" t="str">
            <v/>
          </cell>
          <cell r="I395" t="str">
            <v/>
          </cell>
          <cell r="J395" t="str">
            <v/>
          </cell>
        </row>
        <row r="396">
          <cell r="B396" t="str">
            <v>IM53389011</v>
          </cell>
          <cell r="C396" t="str">
            <v/>
          </cell>
          <cell r="D396" t="str">
            <v/>
          </cell>
          <cell r="E396" t="e">
            <v>#VALUE!</v>
          </cell>
          <cell r="F396" t="str">
            <v/>
          </cell>
          <cell r="G396" t="str">
            <v/>
          </cell>
          <cell r="H396" t="str">
            <v/>
          </cell>
          <cell r="I396" t="str">
            <v/>
          </cell>
          <cell r="J396" t="str">
            <v/>
          </cell>
        </row>
        <row r="397">
          <cell r="B397" t="str">
            <v>IM53389012</v>
          </cell>
          <cell r="C397" t="str">
            <v/>
          </cell>
          <cell r="D397" t="str">
            <v/>
          </cell>
          <cell r="E397" t="e">
            <v>#VALUE!</v>
          </cell>
          <cell r="F397" t="str">
            <v/>
          </cell>
          <cell r="G397" t="str">
            <v/>
          </cell>
          <cell r="H397" t="str">
            <v/>
          </cell>
          <cell r="I397" t="str">
            <v/>
          </cell>
          <cell r="J397" t="str">
            <v/>
          </cell>
        </row>
        <row r="398">
          <cell r="B398" t="str">
            <v>DV5345101</v>
          </cell>
          <cell r="C398">
            <v>355520</v>
          </cell>
          <cell r="D398">
            <v>39930</v>
          </cell>
          <cell r="E398">
            <v>395450</v>
          </cell>
          <cell r="F398">
            <v>10.1</v>
          </cell>
          <cell r="G398">
            <v>395450</v>
          </cell>
          <cell r="H398">
            <v>355520</v>
          </cell>
          <cell r="I398">
            <v>39930</v>
          </cell>
          <cell r="J398">
            <v>10.1</v>
          </cell>
        </row>
        <row r="399">
          <cell r="B399" t="str">
            <v>DV5345102</v>
          </cell>
          <cell r="C399">
            <v>353060</v>
          </cell>
          <cell r="D399">
            <v>40610</v>
          </cell>
          <cell r="E399">
            <v>393670</v>
          </cell>
          <cell r="F399">
            <v>10.3</v>
          </cell>
          <cell r="G399">
            <v>394560</v>
          </cell>
          <cell r="H399">
            <v>354290</v>
          </cell>
          <cell r="I399">
            <v>40270</v>
          </cell>
          <cell r="J399">
            <v>10.206153167697771</v>
          </cell>
        </row>
        <row r="400">
          <cell r="B400" t="str">
            <v>DV5345103</v>
          </cell>
          <cell r="C400">
            <v>353590</v>
          </cell>
          <cell r="D400">
            <v>41080</v>
          </cell>
          <cell r="E400">
            <v>394670</v>
          </cell>
          <cell r="F400">
            <v>10.4</v>
          </cell>
          <cell r="G400">
            <v>394600</v>
          </cell>
          <cell r="H400">
            <v>354060</v>
          </cell>
          <cell r="I400">
            <v>40540</v>
          </cell>
          <cell r="J400">
            <v>10.273697192914282</v>
          </cell>
        </row>
        <row r="401">
          <cell r="B401" t="str">
            <v>DV5345104</v>
          </cell>
          <cell r="C401">
            <v>352960</v>
          </cell>
          <cell r="D401">
            <v>37410</v>
          </cell>
          <cell r="E401">
            <v>390370</v>
          </cell>
          <cell r="F401">
            <v>9.6</v>
          </cell>
          <cell r="G401">
            <v>393540</v>
          </cell>
          <cell r="H401">
            <v>353780</v>
          </cell>
          <cell r="I401">
            <v>39760</v>
          </cell>
          <cell r="J401">
            <v>10.102378801565793</v>
          </cell>
        </row>
        <row r="402">
          <cell r="B402" t="str">
            <v>DV5345105</v>
          </cell>
          <cell r="C402">
            <v>356610</v>
          </cell>
          <cell r="D402">
            <v>37630</v>
          </cell>
          <cell r="E402">
            <v>394240</v>
          </cell>
          <cell r="F402">
            <v>9.5</v>
          </cell>
          <cell r="G402">
            <v>393680</v>
          </cell>
          <cell r="H402">
            <v>354350</v>
          </cell>
          <cell r="I402">
            <v>39330</v>
          </cell>
          <cell r="J402">
            <v>9.9906014560122749</v>
          </cell>
        </row>
        <row r="403">
          <cell r="B403" t="str">
            <v>DV5345106</v>
          </cell>
          <cell r="C403">
            <v>349550</v>
          </cell>
          <cell r="D403">
            <v>37760</v>
          </cell>
          <cell r="E403">
            <v>387310</v>
          </cell>
          <cell r="F403">
            <v>9.6999999999999993</v>
          </cell>
          <cell r="G403">
            <v>392620</v>
          </cell>
          <cell r="H403">
            <v>353550</v>
          </cell>
          <cell r="I403">
            <v>39070</v>
          </cell>
          <cell r="J403">
            <v>9.950965763481868</v>
          </cell>
        </row>
        <row r="404">
          <cell r="B404" t="str">
            <v>DV5345107</v>
          </cell>
          <cell r="C404">
            <v>344200</v>
          </cell>
          <cell r="D404">
            <v>36710</v>
          </cell>
          <cell r="E404">
            <v>380910</v>
          </cell>
          <cell r="F404">
            <v>9.6</v>
          </cell>
          <cell r="G404">
            <v>390950</v>
          </cell>
          <cell r="H404">
            <v>352210</v>
          </cell>
          <cell r="I404">
            <v>38730</v>
          </cell>
          <cell r="J404">
            <v>9.9074112645608565</v>
          </cell>
        </row>
        <row r="405">
          <cell r="B405" t="str">
            <v>DV5345108</v>
          </cell>
          <cell r="C405" t="str">
            <v/>
          </cell>
          <cell r="D405" t="str">
            <v/>
          </cell>
          <cell r="E405" t="e">
            <v>#VALUE!</v>
          </cell>
          <cell r="F405" t="str">
            <v/>
          </cell>
          <cell r="G405" t="str">
            <v/>
          </cell>
          <cell r="H405" t="str">
            <v/>
          </cell>
          <cell r="I405" t="str">
            <v/>
          </cell>
          <cell r="J405" t="str">
            <v/>
          </cell>
        </row>
        <row r="406">
          <cell r="B406" t="str">
            <v>DV5345109</v>
          </cell>
          <cell r="C406" t="str">
            <v/>
          </cell>
          <cell r="D406" t="str">
            <v/>
          </cell>
          <cell r="E406" t="e">
            <v>#VALUE!</v>
          </cell>
          <cell r="F406" t="str">
            <v/>
          </cell>
          <cell r="G406" t="str">
            <v/>
          </cell>
          <cell r="H406" t="str">
            <v/>
          </cell>
          <cell r="I406" t="str">
            <v/>
          </cell>
          <cell r="J406" t="str">
            <v/>
          </cell>
        </row>
        <row r="407">
          <cell r="B407" t="str">
            <v>DV53451010</v>
          </cell>
          <cell r="C407" t="str">
            <v/>
          </cell>
          <cell r="D407" t="str">
            <v/>
          </cell>
          <cell r="E407" t="e">
            <v>#VALUE!</v>
          </cell>
          <cell r="F407" t="str">
            <v/>
          </cell>
          <cell r="G407" t="str">
            <v/>
          </cell>
          <cell r="H407" t="str">
            <v/>
          </cell>
          <cell r="I407" t="str">
            <v/>
          </cell>
          <cell r="J407" t="str">
            <v/>
          </cell>
        </row>
        <row r="408">
          <cell r="B408" t="str">
            <v>DV53451011</v>
          </cell>
          <cell r="C408" t="str">
            <v/>
          </cell>
          <cell r="D408" t="str">
            <v/>
          </cell>
          <cell r="E408" t="e">
            <v>#VALUE!</v>
          </cell>
          <cell r="F408" t="str">
            <v/>
          </cell>
          <cell r="G408" t="str">
            <v/>
          </cell>
          <cell r="H408" t="str">
            <v/>
          </cell>
          <cell r="I408" t="str">
            <v/>
          </cell>
          <cell r="J408" t="str">
            <v/>
          </cell>
        </row>
        <row r="409">
          <cell r="B409" t="str">
            <v>DV53451012</v>
          </cell>
          <cell r="C409" t="str">
            <v/>
          </cell>
          <cell r="D409" t="str">
            <v/>
          </cell>
          <cell r="E409" t="e">
            <v>#VALUE!</v>
          </cell>
          <cell r="F409" t="str">
            <v/>
          </cell>
          <cell r="G409" t="str">
            <v/>
          </cell>
          <cell r="H409" t="str">
            <v/>
          </cell>
          <cell r="I409" t="str">
            <v/>
          </cell>
          <cell r="J409" t="str">
            <v/>
          </cell>
        </row>
        <row r="410">
          <cell r="B410" t="str">
            <v>DV5342641</v>
          </cell>
          <cell r="C410">
            <v>1349930</v>
          </cell>
          <cell r="D410">
            <v>132630</v>
          </cell>
          <cell r="E410">
            <v>1482560</v>
          </cell>
          <cell r="F410">
            <v>8.9</v>
          </cell>
          <cell r="G410">
            <v>1482560</v>
          </cell>
          <cell r="H410">
            <v>1349930</v>
          </cell>
          <cell r="I410">
            <v>132630</v>
          </cell>
          <cell r="J410">
            <v>8.9</v>
          </cell>
        </row>
        <row r="411">
          <cell r="B411" t="str">
            <v>DV5342642</v>
          </cell>
          <cell r="C411">
            <v>1357480</v>
          </cell>
          <cell r="D411">
            <v>136050</v>
          </cell>
          <cell r="E411">
            <v>1493530</v>
          </cell>
          <cell r="F411">
            <v>9.1</v>
          </cell>
          <cell r="G411">
            <v>1488040</v>
          </cell>
          <cell r="H411">
            <v>1353700</v>
          </cell>
          <cell r="I411">
            <v>134340</v>
          </cell>
          <cell r="J411">
            <v>9.0280596541500113</v>
          </cell>
        </row>
        <row r="412">
          <cell r="B412" t="str">
            <v>DV5342643</v>
          </cell>
          <cell r="C412">
            <v>1352500</v>
          </cell>
          <cell r="D412">
            <v>132720</v>
          </cell>
          <cell r="E412">
            <v>1485220</v>
          </cell>
          <cell r="F412">
            <v>8.9</v>
          </cell>
          <cell r="G412">
            <v>1487100</v>
          </cell>
          <cell r="H412">
            <v>1353300</v>
          </cell>
          <cell r="I412">
            <v>133800</v>
          </cell>
          <cell r="J412">
            <v>8.9973225323083721</v>
          </cell>
        </row>
        <row r="413">
          <cell r="B413" t="str">
            <v>DV5342644</v>
          </cell>
          <cell r="C413">
            <v>1339000</v>
          </cell>
          <cell r="D413">
            <v>122440</v>
          </cell>
          <cell r="E413">
            <v>1461440</v>
          </cell>
          <cell r="F413">
            <v>8.4</v>
          </cell>
          <cell r="G413">
            <v>1480690</v>
          </cell>
          <cell r="H413">
            <v>1349730</v>
          </cell>
          <cell r="I413">
            <v>130960</v>
          </cell>
          <cell r="J413">
            <v>8.8445709021752048</v>
          </cell>
        </row>
        <row r="414">
          <cell r="B414" t="str">
            <v>DV5342645</v>
          </cell>
          <cell r="C414">
            <v>1346820</v>
          </cell>
          <cell r="D414">
            <v>121910</v>
          </cell>
          <cell r="E414">
            <v>1468730</v>
          </cell>
          <cell r="F414">
            <v>8.3000000000000007</v>
          </cell>
          <cell r="G414">
            <v>1478300</v>
          </cell>
          <cell r="H414">
            <v>1349150</v>
          </cell>
          <cell r="I414">
            <v>129150</v>
          </cell>
          <cell r="J414">
            <v>8.7364817476535173</v>
          </cell>
        </row>
        <row r="415">
          <cell r="B415" t="str">
            <v>DV5342646</v>
          </cell>
          <cell r="C415">
            <v>1345800</v>
          </cell>
          <cell r="D415">
            <v>135790</v>
          </cell>
          <cell r="E415">
            <v>1481590</v>
          </cell>
          <cell r="F415">
            <v>9.1999999999999993</v>
          </cell>
          <cell r="G415">
            <v>1478850</v>
          </cell>
          <cell r="H415">
            <v>1348590</v>
          </cell>
          <cell r="I415">
            <v>130260</v>
          </cell>
          <cell r="J415">
            <v>8.8080987399645938</v>
          </cell>
        </row>
        <row r="416">
          <cell r="B416" t="str">
            <v>DV5342647</v>
          </cell>
          <cell r="C416">
            <v>1344750</v>
          </cell>
          <cell r="D416">
            <v>132900</v>
          </cell>
          <cell r="E416">
            <v>1477650</v>
          </cell>
          <cell r="F416">
            <v>9</v>
          </cell>
          <cell r="G416">
            <v>1478680</v>
          </cell>
          <cell r="H416">
            <v>1348040</v>
          </cell>
          <cell r="I416">
            <v>130640</v>
          </cell>
          <cell r="J416">
            <v>8.8346664430432771</v>
          </cell>
        </row>
        <row r="417">
          <cell r="B417" t="str">
            <v>DV5342648</v>
          </cell>
          <cell r="C417" t="str">
            <v/>
          </cell>
          <cell r="D417" t="str">
            <v/>
          </cell>
          <cell r="E417" t="e">
            <v>#VALUE!</v>
          </cell>
          <cell r="F417" t="str">
            <v/>
          </cell>
          <cell r="G417" t="str">
            <v/>
          </cell>
          <cell r="H417" t="str">
            <v/>
          </cell>
          <cell r="I417" t="str">
            <v/>
          </cell>
          <cell r="J417" t="str">
            <v/>
          </cell>
        </row>
        <row r="418">
          <cell r="B418" t="str">
            <v>DV5342649</v>
          </cell>
          <cell r="C418" t="str">
            <v/>
          </cell>
          <cell r="D418" t="str">
            <v/>
          </cell>
          <cell r="E418" t="e">
            <v>#VALUE!</v>
          </cell>
          <cell r="F418" t="str">
            <v/>
          </cell>
          <cell r="G418" t="str">
            <v/>
          </cell>
          <cell r="H418" t="str">
            <v/>
          </cell>
          <cell r="I418" t="str">
            <v/>
          </cell>
          <cell r="J418" t="str">
            <v/>
          </cell>
        </row>
        <row r="419">
          <cell r="B419" t="str">
            <v>DV53426410</v>
          </cell>
          <cell r="C419" t="str">
            <v/>
          </cell>
          <cell r="D419" t="str">
            <v/>
          </cell>
          <cell r="E419" t="e">
            <v>#VALUE!</v>
          </cell>
          <cell r="F419" t="str">
            <v/>
          </cell>
          <cell r="G419" t="str">
            <v/>
          </cell>
          <cell r="H419" t="str">
            <v/>
          </cell>
          <cell r="I419" t="str">
            <v/>
          </cell>
          <cell r="J419" t="str">
            <v/>
          </cell>
        </row>
        <row r="420">
          <cell r="B420" t="str">
            <v>DV53426411</v>
          </cell>
          <cell r="C420" t="str">
            <v/>
          </cell>
          <cell r="D420" t="str">
            <v/>
          </cell>
          <cell r="E420" t="e">
            <v>#VALUE!</v>
          </cell>
          <cell r="F420" t="str">
            <v/>
          </cell>
          <cell r="G420" t="str">
            <v/>
          </cell>
          <cell r="H420" t="str">
            <v/>
          </cell>
          <cell r="I420" t="str">
            <v/>
          </cell>
          <cell r="J420" t="str">
            <v/>
          </cell>
        </row>
        <row r="421">
          <cell r="B421" t="str">
            <v>DV53426412</v>
          </cell>
          <cell r="C421" t="str">
            <v/>
          </cell>
          <cell r="D421" t="str">
            <v/>
          </cell>
          <cell r="E421" t="e">
            <v>#VALUE!</v>
          </cell>
          <cell r="F421" t="str">
            <v/>
          </cell>
          <cell r="G421" t="str">
            <v/>
          </cell>
          <cell r="H421" t="str">
            <v/>
          </cell>
          <cell r="I421" t="str">
            <v/>
          </cell>
          <cell r="J421" t="str">
            <v/>
          </cell>
        </row>
        <row r="422">
          <cell r="B422" t="str">
            <v>CT5320001</v>
          </cell>
          <cell r="C422">
            <v>14270</v>
          </cell>
          <cell r="D422">
            <v>1520</v>
          </cell>
          <cell r="E422">
            <v>15790</v>
          </cell>
          <cell r="F422">
            <v>9.6</v>
          </cell>
          <cell r="G422">
            <v>15780</v>
          </cell>
          <cell r="H422">
            <v>14270</v>
          </cell>
          <cell r="I422">
            <v>1520</v>
          </cell>
          <cell r="J422">
            <v>9.6</v>
          </cell>
        </row>
        <row r="423">
          <cell r="B423" t="str">
            <v>CT5320002</v>
          </cell>
          <cell r="C423">
            <v>14410</v>
          </cell>
          <cell r="D423">
            <v>1440</v>
          </cell>
          <cell r="E423">
            <v>15850</v>
          </cell>
          <cell r="F423">
            <v>9.1</v>
          </cell>
          <cell r="G423">
            <v>15820</v>
          </cell>
          <cell r="H423">
            <v>14340</v>
          </cell>
          <cell r="I423">
            <v>1480</v>
          </cell>
          <cell r="J423">
            <v>9.343490217150805</v>
          </cell>
        </row>
        <row r="424">
          <cell r="B424" t="str">
            <v>CT5320003</v>
          </cell>
          <cell r="C424">
            <v>14600</v>
          </cell>
          <cell r="D424">
            <v>1460</v>
          </cell>
          <cell r="E424">
            <v>16060</v>
          </cell>
          <cell r="F424">
            <v>9.1</v>
          </cell>
          <cell r="G424">
            <v>15900</v>
          </cell>
          <cell r="H424">
            <v>14430</v>
          </cell>
          <cell r="I424">
            <v>1470</v>
          </cell>
          <cell r="J424">
            <v>9.2559592444286043</v>
          </cell>
        </row>
        <row r="425">
          <cell r="B425" t="str">
            <v>CT5320004</v>
          </cell>
          <cell r="C425">
            <v>14320</v>
          </cell>
          <cell r="D425">
            <v>1430</v>
          </cell>
          <cell r="E425">
            <v>15750</v>
          </cell>
          <cell r="F425">
            <v>9.1</v>
          </cell>
          <cell r="G425">
            <v>15860</v>
          </cell>
          <cell r="H425">
            <v>14400</v>
          </cell>
          <cell r="I425">
            <v>1460</v>
          </cell>
          <cell r="J425">
            <v>9.2084108319409861</v>
          </cell>
        </row>
        <row r="426">
          <cell r="B426" t="str">
            <v>CT5320005</v>
          </cell>
          <cell r="C426">
            <v>14520</v>
          </cell>
          <cell r="D426">
            <v>1490</v>
          </cell>
          <cell r="E426">
            <v>16010</v>
          </cell>
          <cell r="F426">
            <v>9.3000000000000007</v>
          </cell>
          <cell r="G426">
            <v>15890</v>
          </cell>
          <cell r="H426">
            <v>14420</v>
          </cell>
          <cell r="I426">
            <v>1470</v>
          </cell>
          <cell r="J426">
            <v>9.2256960177213916</v>
          </cell>
        </row>
        <row r="427">
          <cell r="B427" t="str">
            <v>CT5320006</v>
          </cell>
          <cell r="C427">
            <v>16600</v>
          </cell>
          <cell r="D427">
            <v>1540</v>
          </cell>
          <cell r="E427">
            <v>18140</v>
          </cell>
          <cell r="F427">
            <v>8.5</v>
          </cell>
          <cell r="G427">
            <v>16260</v>
          </cell>
          <cell r="H427">
            <v>14790</v>
          </cell>
          <cell r="I427">
            <v>1480</v>
          </cell>
          <cell r="J427">
            <v>9.084201789172738</v>
          </cell>
        </row>
        <row r="428">
          <cell r="B428" t="str">
            <v>CT5320007</v>
          </cell>
          <cell r="C428">
            <v>18440</v>
          </cell>
          <cell r="D428">
            <v>1320</v>
          </cell>
          <cell r="E428">
            <v>19760</v>
          </cell>
          <cell r="F428">
            <v>6.7</v>
          </cell>
          <cell r="G428">
            <v>16760</v>
          </cell>
          <cell r="H428">
            <v>15310</v>
          </cell>
          <cell r="I428">
            <v>1450</v>
          </cell>
          <cell r="J428">
            <v>8.6783127396676605</v>
          </cell>
        </row>
        <row r="429">
          <cell r="B429" t="str">
            <v>CT5320008</v>
          </cell>
          <cell r="C429" t="str">
            <v/>
          </cell>
          <cell r="D429" t="str">
            <v/>
          </cell>
          <cell r="E429" t="e">
            <v>#VALUE!</v>
          </cell>
          <cell r="F429" t="str">
            <v/>
          </cell>
          <cell r="G429" t="str">
            <v/>
          </cell>
          <cell r="H429" t="str">
            <v/>
          </cell>
          <cell r="I429" t="str">
            <v/>
          </cell>
          <cell r="J429" t="str">
            <v/>
          </cell>
        </row>
        <row r="430">
          <cell r="B430" t="str">
            <v>CT5320009</v>
          </cell>
          <cell r="C430" t="str">
            <v/>
          </cell>
          <cell r="D430" t="str">
            <v/>
          </cell>
          <cell r="E430" t="e">
            <v>#VALUE!</v>
          </cell>
          <cell r="F430" t="str">
            <v/>
          </cell>
          <cell r="G430" t="str">
            <v/>
          </cell>
          <cell r="H430" t="str">
            <v/>
          </cell>
          <cell r="I430" t="str">
            <v/>
          </cell>
          <cell r="J430" t="str">
            <v/>
          </cell>
        </row>
        <row r="431">
          <cell r="B431" t="str">
            <v>CT53200010</v>
          </cell>
          <cell r="C431" t="str">
            <v/>
          </cell>
          <cell r="D431" t="str">
            <v/>
          </cell>
          <cell r="E431" t="e">
            <v>#VALUE!</v>
          </cell>
          <cell r="F431" t="str">
            <v/>
          </cell>
          <cell r="G431" t="str">
            <v/>
          </cell>
          <cell r="H431" t="str">
            <v/>
          </cell>
          <cell r="I431" t="str">
            <v/>
          </cell>
          <cell r="J431" t="str">
            <v/>
          </cell>
        </row>
        <row r="432">
          <cell r="B432" t="str">
            <v>CT53200011</v>
          </cell>
          <cell r="C432" t="str">
            <v/>
          </cell>
          <cell r="D432" t="str">
            <v/>
          </cell>
          <cell r="E432" t="e">
            <v>#VALUE!</v>
          </cell>
          <cell r="F432" t="str">
            <v/>
          </cell>
          <cell r="G432" t="str">
            <v/>
          </cell>
          <cell r="H432" t="str">
            <v/>
          </cell>
          <cell r="I432" t="str">
            <v/>
          </cell>
          <cell r="J432" t="str">
            <v/>
          </cell>
        </row>
        <row r="433">
          <cell r="B433" t="str">
            <v>CT53200012</v>
          </cell>
          <cell r="C433" t="str">
            <v/>
          </cell>
          <cell r="D433" t="str">
            <v/>
          </cell>
          <cell r="E433" t="e">
            <v>#VALUE!</v>
          </cell>
          <cell r="F433" t="str">
            <v/>
          </cell>
          <cell r="G433" t="str">
            <v/>
          </cell>
          <cell r="H433" t="str">
            <v/>
          </cell>
          <cell r="I433" t="str">
            <v/>
          </cell>
          <cell r="J433" t="str">
            <v/>
          </cell>
        </row>
        <row r="434">
          <cell r="B434" t="str">
            <v>CT5313001</v>
          </cell>
          <cell r="C434">
            <v>13070</v>
          </cell>
          <cell r="D434">
            <v>1510</v>
          </cell>
          <cell r="E434">
            <v>14580</v>
          </cell>
          <cell r="F434">
            <v>10.3</v>
          </cell>
          <cell r="G434">
            <v>14570</v>
          </cell>
          <cell r="H434">
            <v>13070</v>
          </cell>
          <cell r="I434">
            <v>1510</v>
          </cell>
          <cell r="J434">
            <v>10.3</v>
          </cell>
        </row>
        <row r="435">
          <cell r="B435" t="str">
            <v>CT5313002</v>
          </cell>
          <cell r="C435">
            <v>13140</v>
          </cell>
          <cell r="D435">
            <v>1510</v>
          </cell>
          <cell r="E435">
            <v>14650</v>
          </cell>
          <cell r="F435">
            <v>10.3</v>
          </cell>
          <cell r="G435">
            <v>14610</v>
          </cell>
          <cell r="H435">
            <v>13100</v>
          </cell>
          <cell r="I435">
            <v>1510</v>
          </cell>
          <cell r="J435">
            <v>10.317568954896995</v>
          </cell>
        </row>
        <row r="436">
          <cell r="B436" t="str">
            <v>CT5313003</v>
          </cell>
          <cell r="C436">
            <v>13090</v>
          </cell>
          <cell r="D436">
            <v>1540</v>
          </cell>
          <cell r="E436">
            <v>14630</v>
          </cell>
          <cell r="F436">
            <v>10.5</v>
          </cell>
          <cell r="G436">
            <v>14620</v>
          </cell>
          <cell r="H436">
            <v>13100</v>
          </cell>
          <cell r="I436">
            <v>1520</v>
          </cell>
          <cell r="J436">
            <v>10.394910848647909</v>
          </cell>
        </row>
        <row r="437">
          <cell r="B437" t="str">
            <v>CT5313004</v>
          </cell>
          <cell r="C437">
            <v>12960</v>
          </cell>
          <cell r="D437">
            <v>1460</v>
          </cell>
          <cell r="E437">
            <v>14420</v>
          </cell>
          <cell r="F437">
            <v>10.1</v>
          </cell>
          <cell r="G437">
            <v>14570</v>
          </cell>
          <cell r="H437">
            <v>13070</v>
          </cell>
          <cell r="I437">
            <v>1500</v>
          </cell>
          <cell r="J437">
            <v>10.323289175646922</v>
          </cell>
        </row>
        <row r="438">
          <cell r="B438" t="str">
            <v>CT5313005</v>
          </cell>
          <cell r="C438">
            <v>13040</v>
          </cell>
          <cell r="D438">
            <v>1460</v>
          </cell>
          <cell r="E438">
            <v>14500</v>
          </cell>
          <cell r="F438">
            <v>10.1</v>
          </cell>
          <cell r="G438">
            <v>14550</v>
          </cell>
          <cell r="H438">
            <v>13060</v>
          </cell>
          <cell r="I438">
            <v>1490</v>
          </cell>
          <cell r="J438">
            <v>10.269341761714992</v>
          </cell>
        </row>
        <row r="439">
          <cell r="B439" t="str">
            <v>CT5313006</v>
          </cell>
          <cell r="C439">
            <v>13030</v>
          </cell>
          <cell r="D439">
            <v>1570</v>
          </cell>
          <cell r="E439">
            <v>14600</v>
          </cell>
          <cell r="F439">
            <v>10.8</v>
          </cell>
          <cell r="G439">
            <v>14560</v>
          </cell>
          <cell r="H439">
            <v>13050</v>
          </cell>
          <cell r="I439">
            <v>1510</v>
          </cell>
          <cell r="J439">
            <v>10.351616152366997</v>
          </cell>
        </row>
        <row r="440">
          <cell r="B440" t="str">
            <v>CT5313007</v>
          </cell>
          <cell r="C440">
            <v>13020</v>
          </cell>
          <cell r="D440">
            <v>1410</v>
          </cell>
          <cell r="E440">
            <v>14430</v>
          </cell>
          <cell r="F440">
            <v>9.8000000000000007</v>
          </cell>
          <cell r="G440">
            <v>14540</v>
          </cell>
          <cell r="H440">
            <v>13050</v>
          </cell>
          <cell r="I440">
            <v>1490</v>
          </cell>
          <cell r="J440">
            <v>10.273185394748474</v>
          </cell>
        </row>
        <row r="441">
          <cell r="B441" t="str">
            <v>CT5313008</v>
          </cell>
          <cell r="C441" t="str">
            <v/>
          </cell>
          <cell r="D441" t="str">
            <v/>
          </cell>
          <cell r="E441" t="e">
            <v>#VALUE!</v>
          </cell>
          <cell r="F441" t="str">
            <v/>
          </cell>
          <cell r="G441" t="str">
            <v/>
          </cell>
          <cell r="H441" t="str">
            <v/>
          </cell>
          <cell r="I441" t="str">
            <v/>
          </cell>
          <cell r="J441" t="str">
            <v/>
          </cell>
        </row>
        <row r="442">
          <cell r="B442" t="str">
            <v>CT5313009</v>
          </cell>
          <cell r="C442" t="str">
            <v/>
          </cell>
          <cell r="D442" t="str">
            <v/>
          </cell>
          <cell r="E442" t="e">
            <v>#VALUE!</v>
          </cell>
          <cell r="F442" t="str">
            <v/>
          </cell>
          <cell r="G442" t="str">
            <v/>
          </cell>
          <cell r="H442" t="str">
            <v/>
          </cell>
          <cell r="I442" t="str">
            <v/>
          </cell>
          <cell r="J442" t="str">
            <v/>
          </cell>
        </row>
        <row r="443">
          <cell r="B443" t="str">
            <v>CT53130010</v>
          </cell>
          <cell r="C443" t="str">
            <v/>
          </cell>
          <cell r="D443" t="str">
            <v/>
          </cell>
          <cell r="E443" t="e">
            <v>#VALUE!</v>
          </cell>
          <cell r="F443" t="str">
            <v/>
          </cell>
          <cell r="G443" t="str">
            <v/>
          </cell>
          <cell r="H443" t="str">
            <v/>
          </cell>
          <cell r="I443" t="str">
            <v/>
          </cell>
          <cell r="J443" t="str">
            <v/>
          </cell>
        </row>
        <row r="444">
          <cell r="B444" t="str">
            <v>CT53130011</v>
          </cell>
          <cell r="C444" t="str">
            <v/>
          </cell>
          <cell r="D444" t="str">
            <v/>
          </cell>
          <cell r="E444" t="e">
            <v>#VALUE!</v>
          </cell>
          <cell r="F444" t="str">
            <v/>
          </cell>
          <cell r="G444" t="str">
            <v/>
          </cell>
          <cell r="H444" t="str">
            <v/>
          </cell>
          <cell r="I444" t="str">
            <v/>
          </cell>
          <cell r="J444" t="str">
            <v/>
          </cell>
        </row>
        <row r="445">
          <cell r="B445" t="str">
            <v>CT53130012</v>
          </cell>
          <cell r="C445" t="str">
            <v/>
          </cell>
          <cell r="D445" t="str">
            <v/>
          </cell>
          <cell r="E445" t="e">
            <v>#VALUE!</v>
          </cell>
          <cell r="F445" t="str">
            <v/>
          </cell>
          <cell r="G445" t="str">
            <v/>
          </cell>
          <cell r="H445" t="str">
            <v/>
          </cell>
          <cell r="I445" t="str">
            <v/>
          </cell>
          <cell r="J445" t="str">
            <v/>
          </cell>
        </row>
        <row r="446">
          <cell r="B446" t="str">
            <v>CT5312001</v>
          </cell>
          <cell r="C446">
            <v>21310</v>
          </cell>
          <cell r="D446">
            <v>1390</v>
          </cell>
          <cell r="E446">
            <v>22700</v>
          </cell>
          <cell r="F446">
            <v>6.1</v>
          </cell>
          <cell r="G446">
            <v>22700</v>
          </cell>
          <cell r="H446">
            <v>21310</v>
          </cell>
          <cell r="I446">
            <v>1390</v>
          </cell>
          <cell r="J446">
            <v>6.1</v>
          </cell>
        </row>
        <row r="447">
          <cell r="B447" t="str">
            <v>CT5312002</v>
          </cell>
          <cell r="C447">
            <v>21430</v>
          </cell>
          <cell r="D447">
            <v>1400</v>
          </cell>
          <cell r="E447">
            <v>22830</v>
          </cell>
          <cell r="F447">
            <v>6.1</v>
          </cell>
          <cell r="G447">
            <v>22760</v>
          </cell>
          <cell r="H447">
            <v>21370</v>
          </cell>
          <cell r="I447">
            <v>1390</v>
          </cell>
          <cell r="J447">
            <v>6.1235695930066552</v>
          </cell>
        </row>
        <row r="448">
          <cell r="B448" t="str">
            <v>CT5312003</v>
          </cell>
          <cell r="C448">
            <v>21350</v>
          </cell>
          <cell r="D448">
            <v>1410</v>
          </cell>
          <cell r="E448">
            <v>22760</v>
          </cell>
          <cell r="F448">
            <v>6.2</v>
          </cell>
          <cell r="G448">
            <v>22760</v>
          </cell>
          <cell r="H448">
            <v>21360</v>
          </cell>
          <cell r="I448">
            <v>1400</v>
          </cell>
          <cell r="J448">
            <v>6.1473129301508269</v>
          </cell>
        </row>
        <row r="449">
          <cell r="B449" t="str">
            <v>CT5312004</v>
          </cell>
          <cell r="C449">
            <v>21140</v>
          </cell>
          <cell r="D449">
            <v>1240</v>
          </cell>
          <cell r="E449">
            <v>22380</v>
          </cell>
          <cell r="F449">
            <v>5.5</v>
          </cell>
          <cell r="G449">
            <v>22670</v>
          </cell>
          <cell r="H449">
            <v>21310</v>
          </cell>
          <cell r="I449">
            <v>1360</v>
          </cell>
          <cell r="J449">
            <v>5.9956323208258882</v>
          </cell>
        </row>
        <row r="450">
          <cell r="B450" t="str">
            <v>CT5312005</v>
          </cell>
          <cell r="C450">
            <v>21260</v>
          </cell>
          <cell r="D450">
            <v>1280</v>
          </cell>
          <cell r="E450">
            <v>22540</v>
          </cell>
          <cell r="F450">
            <v>5.7</v>
          </cell>
          <cell r="G450">
            <v>22640</v>
          </cell>
          <cell r="H450">
            <v>21300</v>
          </cell>
          <cell r="I450">
            <v>1340</v>
          </cell>
          <cell r="J450">
            <v>5.9299500905437039</v>
          </cell>
        </row>
        <row r="451">
          <cell r="B451" t="str">
            <v>CT5312006</v>
          </cell>
          <cell r="C451">
            <v>21250</v>
          </cell>
          <cell r="D451">
            <v>1510</v>
          </cell>
          <cell r="E451">
            <v>22760</v>
          </cell>
          <cell r="F451">
            <v>6.6</v>
          </cell>
          <cell r="G451">
            <v>22660</v>
          </cell>
          <cell r="H451">
            <v>21290</v>
          </cell>
          <cell r="I451">
            <v>1370</v>
          </cell>
          <cell r="J451">
            <v>6.0459847894202623</v>
          </cell>
        </row>
        <row r="452">
          <cell r="B452" t="str">
            <v>CT5312007</v>
          </cell>
          <cell r="C452">
            <v>21230</v>
          </cell>
          <cell r="D452">
            <v>1530</v>
          </cell>
          <cell r="E452">
            <v>22760</v>
          </cell>
          <cell r="F452">
            <v>6.7</v>
          </cell>
          <cell r="G452">
            <v>22670</v>
          </cell>
          <cell r="H452">
            <v>21280</v>
          </cell>
          <cell r="I452">
            <v>1390</v>
          </cell>
          <cell r="J452">
            <v>6.1436005998059446</v>
          </cell>
        </row>
        <row r="453">
          <cell r="B453" t="str">
            <v>CT5312008</v>
          </cell>
          <cell r="C453" t="str">
            <v/>
          </cell>
          <cell r="D453" t="str">
            <v/>
          </cell>
          <cell r="E453" t="e">
            <v>#VALUE!</v>
          </cell>
          <cell r="F453" t="str">
            <v/>
          </cell>
          <cell r="G453" t="str">
            <v/>
          </cell>
          <cell r="H453" t="str">
            <v/>
          </cell>
          <cell r="I453" t="str">
            <v/>
          </cell>
          <cell r="J453" t="str">
            <v/>
          </cell>
        </row>
        <row r="454">
          <cell r="B454" t="str">
            <v>CT5312009</v>
          </cell>
          <cell r="C454" t="str">
            <v/>
          </cell>
          <cell r="D454" t="str">
            <v/>
          </cell>
          <cell r="E454" t="e">
            <v>#VALUE!</v>
          </cell>
          <cell r="F454" t="str">
            <v/>
          </cell>
          <cell r="G454" t="str">
            <v/>
          </cell>
          <cell r="H454" t="str">
            <v/>
          </cell>
          <cell r="I454" t="str">
            <v/>
          </cell>
          <cell r="J454" t="str">
            <v/>
          </cell>
        </row>
        <row r="455">
          <cell r="B455" t="str">
            <v>CT53120010</v>
          </cell>
          <cell r="C455" t="str">
            <v/>
          </cell>
          <cell r="D455" t="str">
            <v/>
          </cell>
          <cell r="E455" t="e">
            <v>#VALUE!</v>
          </cell>
          <cell r="F455" t="str">
            <v/>
          </cell>
          <cell r="G455" t="str">
            <v/>
          </cell>
          <cell r="H455" t="str">
            <v/>
          </cell>
          <cell r="I455" t="str">
            <v/>
          </cell>
          <cell r="J455" t="str">
            <v/>
          </cell>
        </row>
        <row r="456">
          <cell r="B456" t="str">
            <v>CT53120011</v>
          </cell>
          <cell r="C456" t="str">
            <v/>
          </cell>
          <cell r="D456" t="str">
            <v/>
          </cell>
          <cell r="E456" t="e">
            <v>#VALUE!</v>
          </cell>
          <cell r="F456" t="str">
            <v/>
          </cell>
          <cell r="G456" t="str">
            <v/>
          </cell>
          <cell r="H456" t="str">
            <v/>
          </cell>
          <cell r="I456" t="str">
            <v/>
          </cell>
          <cell r="J456" t="str">
            <v/>
          </cell>
        </row>
        <row r="457">
          <cell r="B457" t="str">
            <v>CT53120012</v>
          </cell>
          <cell r="C457" t="str">
            <v/>
          </cell>
          <cell r="D457" t="str">
            <v/>
          </cell>
          <cell r="E457" t="e">
            <v>#VALUE!</v>
          </cell>
          <cell r="F457" t="str">
            <v/>
          </cell>
          <cell r="G457" t="str">
            <v/>
          </cell>
          <cell r="H457" t="str">
            <v/>
          </cell>
          <cell r="I457" t="str">
            <v/>
          </cell>
          <cell r="J457" t="str">
            <v/>
          </cell>
        </row>
        <row r="458">
          <cell r="B458" t="str">
            <v>CT5311001</v>
          </cell>
          <cell r="C458">
            <v>13750</v>
          </cell>
          <cell r="D458">
            <v>1660</v>
          </cell>
          <cell r="E458">
            <v>15410</v>
          </cell>
          <cell r="F458">
            <v>10.8</v>
          </cell>
          <cell r="G458">
            <v>15410</v>
          </cell>
          <cell r="H458">
            <v>13750</v>
          </cell>
          <cell r="I458">
            <v>1660</v>
          </cell>
          <cell r="J458">
            <v>10.8</v>
          </cell>
        </row>
        <row r="459">
          <cell r="B459" t="str">
            <v>CT5311002</v>
          </cell>
          <cell r="C459">
            <v>13870</v>
          </cell>
          <cell r="D459">
            <v>1610</v>
          </cell>
          <cell r="E459">
            <v>15480</v>
          </cell>
          <cell r="F459">
            <v>10.4</v>
          </cell>
          <cell r="G459">
            <v>15450</v>
          </cell>
          <cell r="H459">
            <v>13810</v>
          </cell>
          <cell r="I459">
            <v>1640</v>
          </cell>
          <cell r="J459">
            <v>10.598899320168339</v>
          </cell>
        </row>
        <row r="460">
          <cell r="B460" t="str">
            <v>CT5311003</v>
          </cell>
          <cell r="C460">
            <v>13760</v>
          </cell>
          <cell r="D460">
            <v>1640</v>
          </cell>
          <cell r="E460">
            <v>15400</v>
          </cell>
          <cell r="F460">
            <v>10.6</v>
          </cell>
          <cell r="G460">
            <v>15430</v>
          </cell>
          <cell r="H460">
            <v>13790</v>
          </cell>
          <cell r="I460">
            <v>1640</v>
          </cell>
          <cell r="J460">
            <v>10.615683732987687</v>
          </cell>
        </row>
        <row r="461">
          <cell r="B461" t="str">
            <v>CT5311004</v>
          </cell>
          <cell r="C461">
            <v>13840</v>
          </cell>
          <cell r="D461">
            <v>1410</v>
          </cell>
          <cell r="E461">
            <v>15250</v>
          </cell>
          <cell r="F461">
            <v>9.3000000000000007</v>
          </cell>
          <cell r="G461">
            <v>15380</v>
          </cell>
          <cell r="H461">
            <v>13800</v>
          </cell>
          <cell r="I461">
            <v>1580</v>
          </cell>
          <cell r="J461">
            <v>10.279994149861059</v>
          </cell>
        </row>
        <row r="462">
          <cell r="B462" t="str">
            <v>CT5311005</v>
          </cell>
          <cell r="C462">
            <v>13810</v>
          </cell>
          <cell r="D462">
            <v>1440</v>
          </cell>
          <cell r="E462">
            <v>15250</v>
          </cell>
          <cell r="F462">
            <v>9.4</v>
          </cell>
          <cell r="G462">
            <v>15360</v>
          </cell>
          <cell r="H462">
            <v>13800</v>
          </cell>
          <cell r="I462">
            <v>1550</v>
          </cell>
          <cell r="J462">
            <v>10.10836437521165</v>
          </cell>
        </row>
        <row r="463">
          <cell r="B463" t="str">
            <v>CT5311006</v>
          </cell>
          <cell r="C463">
            <v>13750</v>
          </cell>
          <cell r="D463">
            <v>1520</v>
          </cell>
          <cell r="E463">
            <v>15270</v>
          </cell>
          <cell r="F463">
            <v>9.9</v>
          </cell>
          <cell r="G463">
            <v>15340</v>
          </cell>
          <cell r="H463">
            <v>13790</v>
          </cell>
          <cell r="I463">
            <v>1550</v>
          </cell>
          <cell r="J463">
            <v>10.079742737326988</v>
          </cell>
        </row>
        <row r="464">
          <cell r="B464" t="str">
            <v>CT5311007</v>
          </cell>
          <cell r="C464">
            <v>14060</v>
          </cell>
          <cell r="D464">
            <v>1460</v>
          </cell>
          <cell r="E464">
            <v>15520</v>
          </cell>
          <cell r="F464">
            <v>9.4</v>
          </cell>
          <cell r="G464">
            <v>15370</v>
          </cell>
          <cell r="H464">
            <v>13830</v>
          </cell>
          <cell r="I464">
            <v>1530</v>
          </cell>
          <cell r="J464">
            <v>9.9823354406842686</v>
          </cell>
        </row>
        <row r="465">
          <cell r="B465" t="str">
            <v>CT5311008</v>
          </cell>
          <cell r="C465" t="str">
            <v/>
          </cell>
          <cell r="D465" t="str">
            <v/>
          </cell>
          <cell r="E465" t="e">
            <v>#VALUE!</v>
          </cell>
          <cell r="F465" t="str">
            <v/>
          </cell>
          <cell r="G465" t="str">
            <v/>
          </cell>
          <cell r="H465" t="str">
            <v/>
          </cell>
          <cell r="I465" t="str">
            <v/>
          </cell>
          <cell r="J465" t="str">
            <v/>
          </cell>
        </row>
        <row r="466">
          <cell r="B466" t="str">
            <v>CT5311009</v>
          </cell>
          <cell r="C466" t="str">
            <v/>
          </cell>
          <cell r="D466" t="str">
            <v/>
          </cell>
          <cell r="E466" t="e">
            <v>#VALUE!</v>
          </cell>
          <cell r="F466" t="str">
            <v/>
          </cell>
          <cell r="G466" t="str">
            <v/>
          </cell>
          <cell r="H466" t="str">
            <v/>
          </cell>
          <cell r="I466" t="str">
            <v/>
          </cell>
          <cell r="J466" t="str">
            <v/>
          </cell>
        </row>
        <row r="467">
          <cell r="B467" t="str">
            <v>CT53110010</v>
          </cell>
          <cell r="C467" t="str">
            <v/>
          </cell>
          <cell r="D467" t="str">
            <v/>
          </cell>
          <cell r="E467" t="e">
            <v>#VALUE!</v>
          </cell>
          <cell r="F467" t="str">
            <v/>
          </cell>
          <cell r="G467" t="str">
            <v/>
          </cell>
          <cell r="H467" t="str">
            <v/>
          </cell>
          <cell r="I467" t="str">
            <v/>
          </cell>
          <cell r="J467" t="str">
            <v/>
          </cell>
        </row>
        <row r="468">
          <cell r="B468" t="str">
            <v>CT53110011</v>
          </cell>
          <cell r="C468" t="str">
            <v/>
          </cell>
          <cell r="D468" t="str">
            <v/>
          </cell>
          <cell r="E468" t="e">
            <v>#VALUE!</v>
          </cell>
          <cell r="F468" t="str">
            <v/>
          </cell>
          <cell r="G468" t="str">
            <v/>
          </cell>
          <cell r="H468" t="str">
            <v/>
          </cell>
          <cell r="I468" t="str">
            <v/>
          </cell>
          <cell r="J468" t="str">
            <v/>
          </cell>
        </row>
        <row r="469">
          <cell r="B469" t="str">
            <v>CT53110012</v>
          </cell>
          <cell r="C469" t="str">
            <v/>
          </cell>
          <cell r="D469" t="str">
            <v/>
          </cell>
          <cell r="E469" t="e">
            <v>#VALUE!</v>
          </cell>
          <cell r="F469" t="str">
            <v/>
          </cell>
          <cell r="G469" t="str">
            <v/>
          </cell>
          <cell r="H469" t="str">
            <v/>
          </cell>
          <cell r="I469" t="str">
            <v/>
          </cell>
          <cell r="J469" t="str">
            <v/>
          </cell>
        </row>
        <row r="470">
          <cell r="B470" t="str">
            <v>CT5310001</v>
          </cell>
          <cell r="C470">
            <v>16190</v>
          </cell>
          <cell r="D470">
            <v>1800</v>
          </cell>
          <cell r="E470">
            <v>17990</v>
          </cell>
          <cell r="F470">
            <v>10</v>
          </cell>
          <cell r="G470">
            <v>17990</v>
          </cell>
          <cell r="H470">
            <v>16190</v>
          </cell>
          <cell r="I470">
            <v>1800</v>
          </cell>
          <cell r="J470">
            <v>10</v>
          </cell>
        </row>
        <row r="471">
          <cell r="B471" t="str">
            <v>CT5310002</v>
          </cell>
          <cell r="C471">
            <v>16280</v>
          </cell>
          <cell r="D471">
            <v>1910</v>
          </cell>
          <cell r="E471">
            <v>18190</v>
          </cell>
          <cell r="F471">
            <v>10.5</v>
          </cell>
          <cell r="G471">
            <v>18090</v>
          </cell>
          <cell r="H471">
            <v>16240</v>
          </cell>
          <cell r="I471">
            <v>1850</v>
          </cell>
          <cell r="J471">
            <v>10.240464344941957</v>
          </cell>
        </row>
        <row r="472">
          <cell r="B472" t="str">
            <v>CT5310003</v>
          </cell>
          <cell r="C472">
            <v>16220</v>
          </cell>
          <cell r="D472">
            <v>1820</v>
          </cell>
          <cell r="E472">
            <v>18040</v>
          </cell>
          <cell r="F472">
            <v>10.1</v>
          </cell>
          <cell r="G472">
            <v>18080</v>
          </cell>
          <cell r="H472">
            <v>16230</v>
          </cell>
          <cell r="I472">
            <v>1840</v>
          </cell>
          <cell r="J472">
            <v>10.194371703610814</v>
          </cell>
        </row>
        <row r="473">
          <cell r="B473" t="str">
            <v>CT5310004</v>
          </cell>
          <cell r="C473">
            <v>16060</v>
          </cell>
          <cell r="D473">
            <v>1700</v>
          </cell>
          <cell r="E473">
            <v>17760</v>
          </cell>
          <cell r="F473">
            <v>9.6</v>
          </cell>
          <cell r="G473">
            <v>18000</v>
          </cell>
          <cell r="H473">
            <v>16190</v>
          </cell>
          <cell r="I473">
            <v>1810</v>
          </cell>
          <cell r="J473">
            <v>10.044450618141408</v>
          </cell>
        </row>
        <row r="474">
          <cell r="B474" t="str">
            <v>CT5310005</v>
          </cell>
          <cell r="C474">
            <v>16160</v>
          </cell>
          <cell r="D474">
            <v>1670</v>
          </cell>
          <cell r="E474">
            <v>17830</v>
          </cell>
          <cell r="F474">
            <v>9.3000000000000007</v>
          </cell>
          <cell r="G474">
            <v>17960</v>
          </cell>
          <cell r="H474">
            <v>16180</v>
          </cell>
          <cell r="I474">
            <v>1780</v>
          </cell>
          <cell r="J474">
            <v>9.905355751029953</v>
          </cell>
        </row>
        <row r="475">
          <cell r="B475" t="str">
            <v>CT5310006</v>
          </cell>
          <cell r="C475">
            <v>16140</v>
          </cell>
          <cell r="D475">
            <v>1840</v>
          </cell>
          <cell r="E475">
            <v>17980</v>
          </cell>
          <cell r="F475">
            <v>10.199999999999999</v>
          </cell>
          <cell r="G475">
            <v>17970</v>
          </cell>
          <cell r="H475">
            <v>16180</v>
          </cell>
          <cell r="I475">
            <v>1790</v>
          </cell>
          <cell r="J475">
            <v>9.9589951016773046</v>
          </cell>
        </row>
        <row r="476">
          <cell r="B476" t="str">
            <v>CT5310007</v>
          </cell>
          <cell r="C476">
            <v>16130</v>
          </cell>
          <cell r="D476">
            <v>1780</v>
          </cell>
          <cell r="E476">
            <v>17910</v>
          </cell>
          <cell r="F476">
            <v>9.9</v>
          </cell>
          <cell r="G476">
            <v>17960</v>
          </cell>
          <cell r="H476">
            <v>16170</v>
          </cell>
          <cell r="I476">
            <v>1790</v>
          </cell>
          <cell r="J476">
            <v>9.9546539379474943</v>
          </cell>
        </row>
        <row r="477">
          <cell r="B477" t="str">
            <v>CT5310008</v>
          </cell>
          <cell r="C477" t="str">
            <v/>
          </cell>
          <cell r="D477" t="str">
            <v/>
          </cell>
          <cell r="E477" t="e">
            <v>#VALUE!</v>
          </cell>
          <cell r="F477" t="str">
            <v/>
          </cell>
          <cell r="G477" t="str">
            <v/>
          </cell>
          <cell r="H477" t="str">
            <v/>
          </cell>
          <cell r="I477" t="str">
            <v/>
          </cell>
          <cell r="J477" t="str">
            <v/>
          </cell>
        </row>
        <row r="478">
          <cell r="B478" t="str">
            <v>CT5310009</v>
          </cell>
          <cell r="C478" t="str">
            <v/>
          </cell>
          <cell r="D478" t="str">
            <v/>
          </cell>
          <cell r="E478" t="e">
            <v>#VALUE!</v>
          </cell>
          <cell r="F478" t="str">
            <v/>
          </cell>
          <cell r="G478" t="str">
            <v/>
          </cell>
          <cell r="H478" t="str">
            <v/>
          </cell>
          <cell r="I478" t="str">
            <v/>
          </cell>
          <cell r="J478" t="str">
            <v/>
          </cell>
        </row>
        <row r="479">
          <cell r="B479" t="str">
            <v>CT53100010</v>
          </cell>
          <cell r="C479" t="str">
            <v/>
          </cell>
          <cell r="D479" t="str">
            <v/>
          </cell>
          <cell r="E479" t="e">
            <v>#VALUE!</v>
          </cell>
          <cell r="F479" t="str">
            <v/>
          </cell>
          <cell r="G479" t="str">
            <v/>
          </cell>
          <cell r="H479" t="str">
            <v/>
          </cell>
          <cell r="I479" t="str">
            <v/>
          </cell>
          <cell r="J479" t="str">
            <v/>
          </cell>
        </row>
        <row r="480">
          <cell r="B480" t="str">
            <v>CT53100011</v>
          </cell>
          <cell r="C480" t="str">
            <v/>
          </cell>
          <cell r="D480" t="str">
            <v/>
          </cell>
          <cell r="E480" t="e">
            <v>#VALUE!</v>
          </cell>
          <cell r="F480" t="str">
            <v/>
          </cell>
          <cell r="G480" t="str">
            <v/>
          </cell>
          <cell r="H480" t="str">
            <v/>
          </cell>
          <cell r="I480" t="str">
            <v/>
          </cell>
          <cell r="J480" t="str">
            <v/>
          </cell>
        </row>
        <row r="481">
          <cell r="B481" t="str">
            <v>CT53100012</v>
          </cell>
          <cell r="C481" t="str">
            <v/>
          </cell>
          <cell r="D481" t="str">
            <v/>
          </cell>
          <cell r="E481" t="e">
            <v>#VALUE!</v>
          </cell>
          <cell r="F481" t="str">
            <v/>
          </cell>
          <cell r="G481" t="str">
            <v/>
          </cell>
          <cell r="H481" t="str">
            <v/>
          </cell>
          <cell r="I481" t="str">
            <v/>
          </cell>
          <cell r="J481" t="str">
            <v/>
          </cell>
        </row>
        <row r="482">
          <cell r="B482" t="str">
            <v>CT5308501</v>
          </cell>
          <cell r="C482">
            <v>15460</v>
          </cell>
          <cell r="D482">
            <v>1280</v>
          </cell>
          <cell r="E482">
            <v>16740</v>
          </cell>
          <cell r="F482">
            <v>7.7</v>
          </cell>
          <cell r="G482">
            <v>16740</v>
          </cell>
          <cell r="H482">
            <v>15460</v>
          </cell>
          <cell r="I482">
            <v>1280</v>
          </cell>
          <cell r="J482">
            <v>7.7</v>
          </cell>
        </row>
        <row r="483">
          <cell r="B483" t="str">
            <v>CT5308502</v>
          </cell>
          <cell r="C483">
            <v>15350</v>
          </cell>
          <cell r="D483">
            <v>1310</v>
          </cell>
          <cell r="E483">
            <v>16660</v>
          </cell>
          <cell r="F483">
            <v>7.9</v>
          </cell>
          <cell r="G483">
            <v>16700</v>
          </cell>
          <cell r="H483">
            <v>15400</v>
          </cell>
          <cell r="I483">
            <v>1300</v>
          </cell>
          <cell r="J483">
            <v>7.7699263428947845</v>
          </cell>
        </row>
        <row r="484">
          <cell r="B484" t="str">
            <v>CT5308503</v>
          </cell>
          <cell r="C484">
            <v>15370</v>
          </cell>
          <cell r="D484">
            <v>1330</v>
          </cell>
          <cell r="E484">
            <v>16700</v>
          </cell>
          <cell r="F484">
            <v>8</v>
          </cell>
          <cell r="G484">
            <v>16700</v>
          </cell>
          <cell r="H484">
            <v>15390</v>
          </cell>
          <cell r="I484">
            <v>1310</v>
          </cell>
          <cell r="J484">
            <v>7.8344877143256344</v>
          </cell>
        </row>
        <row r="485">
          <cell r="B485" t="str">
            <v>CT5308504</v>
          </cell>
          <cell r="C485">
            <v>15340</v>
          </cell>
          <cell r="D485">
            <v>1230</v>
          </cell>
          <cell r="E485">
            <v>16570</v>
          </cell>
          <cell r="F485">
            <v>7.4</v>
          </cell>
          <cell r="G485">
            <v>16670</v>
          </cell>
          <cell r="H485">
            <v>15380</v>
          </cell>
          <cell r="I485">
            <v>1290</v>
          </cell>
          <cell r="J485">
            <v>7.7346491885892554</v>
          </cell>
        </row>
        <row r="486">
          <cell r="B486" t="str">
            <v>CT5308505</v>
          </cell>
          <cell r="C486">
            <v>15500</v>
          </cell>
          <cell r="D486">
            <v>1260</v>
          </cell>
          <cell r="E486">
            <v>16760</v>
          </cell>
          <cell r="F486">
            <v>7.5</v>
          </cell>
          <cell r="G486">
            <v>16690</v>
          </cell>
          <cell r="H486">
            <v>15400</v>
          </cell>
          <cell r="I486">
            <v>1280</v>
          </cell>
          <cell r="J486">
            <v>7.6876056236740862</v>
          </cell>
        </row>
        <row r="487">
          <cell r="B487" t="str">
            <v>CT5308506</v>
          </cell>
          <cell r="C487">
            <v>15200</v>
          </cell>
          <cell r="D487">
            <v>1330</v>
          </cell>
          <cell r="E487">
            <v>16530</v>
          </cell>
          <cell r="F487">
            <v>8.1</v>
          </cell>
          <cell r="G487">
            <v>16660</v>
          </cell>
          <cell r="H487">
            <v>15370</v>
          </cell>
          <cell r="I487">
            <v>1290</v>
          </cell>
          <cell r="J487">
            <v>7.7500225087784234</v>
          </cell>
        </row>
        <row r="488">
          <cell r="B488" t="str">
            <v>CT5308507</v>
          </cell>
          <cell r="C488">
            <v>14960</v>
          </cell>
          <cell r="D488">
            <v>1290</v>
          </cell>
          <cell r="E488">
            <v>16250</v>
          </cell>
          <cell r="F488">
            <v>7.9</v>
          </cell>
          <cell r="G488">
            <v>16600</v>
          </cell>
          <cell r="H488">
            <v>15310</v>
          </cell>
          <cell r="I488">
            <v>1290</v>
          </cell>
          <cell r="J488">
            <v>7.777758656295175</v>
          </cell>
        </row>
        <row r="489">
          <cell r="B489" t="str">
            <v>CT5308508</v>
          </cell>
          <cell r="C489" t="str">
            <v/>
          </cell>
          <cell r="D489" t="str">
            <v/>
          </cell>
          <cell r="E489" t="e">
            <v>#VALUE!</v>
          </cell>
          <cell r="F489" t="str">
            <v/>
          </cell>
          <cell r="G489" t="str">
            <v/>
          </cell>
          <cell r="H489" t="str">
            <v/>
          </cell>
          <cell r="I489" t="str">
            <v/>
          </cell>
          <cell r="J489" t="str">
            <v/>
          </cell>
        </row>
        <row r="490">
          <cell r="B490" t="str">
            <v>CT5308509</v>
          </cell>
          <cell r="C490" t="str">
            <v/>
          </cell>
          <cell r="D490" t="str">
            <v/>
          </cell>
          <cell r="E490" t="e">
            <v>#VALUE!</v>
          </cell>
          <cell r="F490" t="str">
            <v/>
          </cell>
          <cell r="G490" t="str">
            <v/>
          </cell>
          <cell r="H490" t="str">
            <v/>
          </cell>
          <cell r="I490" t="str">
            <v/>
          </cell>
          <cell r="J490" t="str">
            <v/>
          </cell>
        </row>
        <row r="491">
          <cell r="B491" t="str">
            <v>CT53085010</v>
          </cell>
          <cell r="C491" t="str">
            <v/>
          </cell>
          <cell r="D491" t="str">
            <v/>
          </cell>
          <cell r="E491" t="e">
            <v>#VALUE!</v>
          </cell>
          <cell r="F491" t="str">
            <v/>
          </cell>
          <cell r="G491" t="str">
            <v/>
          </cell>
          <cell r="H491" t="str">
            <v/>
          </cell>
          <cell r="I491" t="str">
            <v/>
          </cell>
          <cell r="J491" t="str">
            <v/>
          </cell>
        </row>
        <row r="492">
          <cell r="B492" t="str">
            <v>CT53085011</v>
          </cell>
          <cell r="C492" t="str">
            <v/>
          </cell>
          <cell r="D492" t="str">
            <v/>
          </cell>
          <cell r="E492" t="e">
            <v>#VALUE!</v>
          </cell>
          <cell r="F492" t="str">
            <v/>
          </cell>
          <cell r="G492" t="str">
            <v/>
          </cell>
          <cell r="H492" t="str">
            <v/>
          </cell>
          <cell r="I492" t="str">
            <v/>
          </cell>
          <cell r="J492" t="str">
            <v/>
          </cell>
        </row>
        <row r="493">
          <cell r="B493" t="str">
            <v>CT53085012</v>
          </cell>
          <cell r="C493" t="str">
            <v/>
          </cell>
          <cell r="D493" t="str">
            <v/>
          </cell>
          <cell r="E493" t="e">
            <v>#VALUE!</v>
          </cell>
          <cell r="F493" t="str">
            <v/>
          </cell>
          <cell r="G493" t="str">
            <v/>
          </cell>
          <cell r="H493" t="str">
            <v/>
          </cell>
          <cell r="I493" t="str">
            <v/>
          </cell>
          <cell r="J493" t="str">
            <v/>
          </cell>
        </row>
        <row r="494">
          <cell r="B494" t="str">
            <v>CT5308001</v>
          </cell>
          <cell r="C494">
            <v>42820</v>
          </cell>
          <cell r="D494">
            <v>4470</v>
          </cell>
          <cell r="E494">
            <v>47290</v>
          </cell>
          <cell r="F494">
            <v>9.5</v>
          </cell>
          <cell r="G494">
            <v>47290</v>
          </cell>
          <cell r="H494">
            <v>42820</v>
          </cell>
          <cell r="I494">
            <v>4470</v>
          </cell>
          <cell r="J494">
            <v>9.5</v>
          </cell>
        </row>
        <row r="495">
          <cell r="B495" t="str">
            <v>CT5308002</v>
          </cell>
          <cell r="C495">
            <v>43060</v>
          </cell>
          <cell r="D495">
            <v>4520</v>
          </cell>
          <cell r="E495">
            <v>47580</v>
          </cell>
          <cell r="F495">
            <v>9.5</v>
          </cell>
          <cell r="G495">
            <v>47430</v>
          </cell>
          <cell r="H495">
            <v>42940</v>
          </cell>
          <cell r="I495">
            <v>4500</v>
          </cell>
          <cell r="J495">
            <v>9.4772791955222466</v>
          </cell>
        </row>
        <row r="496">
          <cell r="B496" t="str">
            <v>CT5308003</v>
          </cell>
          <cell r="C496">
            <v>42900</v>
          </cell>
          <cell r="D496">
            <v>4570</v>
          </cell>
          <cell r="E496">
            <v>47470</v>
          </cell>
          <cell r="F496">
            <v>9.6</v>
          </cell>
          <cell r="G496">
            <v>47450</v>
          </cell>
          <cell r="H496">
            <v>42930</v>
          </cell>
          <cell r="I496">
            <v>4520</v>
          </cell>
          <cell r="J496">
            <v>9.5246459082733814</v>
          </cell>
        </row>
        <row r="497">
          <cell r="B497" t="str">
            <v>CT5308004</v>
          </cell>
          <cell r="C497">
            <v>42470</v>
          </cell>
          <cell r="D497">
            <v>4340</v>
          </cell>
          <cell r="E497">
            <v>46810</v>
          </cell>
          <cell r="F497">
            <v>9.3000000000000007</v>
          </cell>
          <cell r="G497">
            <v>47290</v>
          </cell>
          <cell r="H497">
            <v>42810</v>
          </cell>
          <cell r="I497">
            <v>4470</v>
          </cell>
          <cell r="J497">
            <v>9.4604168208685344</v>
          </cell>
        </row>
        <row r="498">
          <cell r="B498" t="str">
            <v>CT5308005</v>
          </cell>
          <cell r="C498">
            <v>42720</v>
          </cell>
          <cell r="D498">
            <v>4390</v>
          </cell>
          <cell r="E498">
            <v>47110</v>
          </cell>
          <cell r="F498">
            <v>9.3000000000000007</v>
          </cell>
          <cell r="G498">
            <v>47250</v>
          </cell>
          <cell r="H498">
            <v>42790</v>
          </cell>
          <cell r="I498">
            <v>4460</v>
          </cell>
          <cell r="J498">
            <v>9.4332515025818999</v>
          </cell>
        </row>
        <row r="499">
          <cell r="B499" t="str">
            <v>CT5308006</v>
          </cell>
          <cell r="C499">
            <v>42690</v>
          </cell>
          <cell r="D499">
            <v>4730</v>
          </cell>
          <cell r="E499">
            <v>47420</v>
          </cell>
          <cell r="F499">
            <v>10</v>
          </cell>
          <cell r="G499">
            <v>47280</v>
          </cell>
          <cell r="H499">
            <v>42780</v>
          </cell>
          <cell r="I499">
            <v>4500</v>
          </cell>
          <cell r="J499">
            <v>9.523473797756612</v>
          </cell>
        </row>
        <row r="500">
          <cell r="B500" t="str">
            <v>CT5308007</v>
          </cell>
          <cell r="C500">
            <v>42660</v>
          </cell>
          <cell r="D500">
            <v>4640</v>
          </cell>
          <cell r="E500">
            <v>47300</v>
          </cell>
          <cell r="F500">
            <v>9.8000000000000007</v>
          </cell>
          <cell r="G500">
            <v>47280</v>
          </cell>
          <cell r="H500">
            <v>42760</v>
          </cell>
          <cell r="I500">
            <v>4520</v>
          </cell>
          <cell r="J500">
            <v>9.564799651936406</v>
          </cell>
        </row>
        <row r="501">
          <cell r="B501" t="str">
            <v>CT5308008</v>
          </cell>
          <cell r="C501" t="str">
            <v/>
          </cell>
          <cell r="D501" t="str">
            <v/>
          </cell>
          <cell r="E501" t="e">
            <v>#VALUE!</v>
          </cell>
          <cell r="F501" t="str">
            <v/>
          </cell>
          <cell r="G501" t="str">
            <v/>
          </cell>
          <cell r="H501" t="str">
            <v/>
          </cell>
          <cell r="I501" t="str">
            <v/>
          </cell>
          <cell r="J501" t="str">
            <v/>
          </cell>
        </row>
        <row r="502">
          <cell r="B502" t="str">
            <v>CT5308009</v>
          </cell>
          <cell r="C502" t="str">
            <v/>
          </cell>
          <cell r="D502" t="str">
            <v/>
          </cell>
          <cell r="E502" t="e">
            <v>#VALUE!</v>
          </cell>
          <cell r="F502" t="str">
            <v/>
          </cell>
          <cell r="G502" t="str">
            <v/>
          </cell>
          <cell r="H502" t="str">
            <v/>
          </cell>
          <cell r="I502" t="str">
            <v/>
          </cell>
          <cell r="J502" t="str">
            <v/>
          </cell>
        </row>
        <row r="503">
          <cell r="B503" t="str">
            <v>CT53080010</v>
          </cell>
          <cell r="C503" t="str">
            <v/>
          </cell>
          <cell r="D503" t="str">
            <v/>
          </cell>
          <cell r="E503" t="e">
            <v>#VALUE!</v>
          </cell>
          <cell r="F503" t="str">
            <v/>
          </cell>
          <cell r="G503" t="str">
            <v/>
          </cell>
          <cell r="H503" t="str">
            <v/>
          </cell>
          <cell r="I503" t="str">
            <v/>
          </cell>
          <cell r="J503" t="str">
            <v/>
          </cell>
        </row>
        <row r="504">
          <cell r="B504" t="str">
            <v>CT53080011</v>
          </cell>
          <cell r="C504" t="str">
            <v/>
          </cell>
          <cell r="D504" t="str">
            <v/>
          </cell>
          <cell r="E504" t="e">
            <v>#VALUE!</v>
          </cell>
          <cell r="F504" t="str">
            <v/>
          </cell>
          <cell r="G504" t="str">
            <v/>
          </cell>
          <cell r="H504" t="str">
            <v/>
          </cell>
          <cell r="I504" t="str">
            <v/>
          </cell>
          <cell r="J504" t="str">
            <v/>
          </cell>
        </row>
        <row r="505">
          <cell r="B505" t="str">
            <v>CT53080012</v>
          </cell>
          <cell r="C505" t="str">
            <v/>
          </cell>
          <cell r="D505" t="str">
            <v/>
          </cell>
          <cell r="E505" t="e">
            <v>#VALUE!</v>
          </cell>
          <cell r="F505" t="str">
            <v/>
          </cell>
          <cell r="G505" t="str">
            <v/>
          </cell>
          <cell r="H505" t="str">
            <v/>
          </cell>
          <cell r="I505" t="str">
            <v/>
          </cell>
          <cell r="J505" t="str">
            <v/>
          </cell>
        </row>
        <row r="506">
          <cell r="B506" t="str">
            <v>CT5307601</v>
          </cell>
          <cell r="C506">
            <v>16840</v>
          </cell>
          <cell r="D506">
            <v>1880</v>
          </cell>
          <cell r="E506">
            <v>18720</v>
          </cell>
          <cell r="F506">
            <v>10</v>
          </cell>
          <cell r="G506">
            <v>18730</v>
          </cell>
          <cell r="H506">
            <v>16840</v>
          </cell>
          <cell r="I506">
            <v>1880</v>
          </cell>
          <cell r="J506">
            <v>10</v>
          </cell>
        </row>
        <row r="507">
          <cell r="B507" t="str">
            <v>CT5307602</v>
          </cell>
          <cell r="C507">
            <v>16940</v>
          </cell>
          <cell r="D507">
            <v>2010</v>
          </cell>
          <cell r="E507">
            <v>18950</v>
          </cell>
          <cell r="F507">
            <v>10.6</v>
          </cell>
          <cell r="G507">
            <v>18830</v>
          </cell>
          <cell r="H507">
            <v>16890</v>
          </cell>
          <cell r="I507">
            <v>1940</v>
          </cell>
          <cell r="J507">
            <v>10.318829807003107</v>
          </cell>
        </row>
        <row r="508">
          <cell r="B508" t="str">
            <v>CT5307603</v>
          </cell>
          <cell r="C508">
            <v>16880</v>
          </cell>
          <cell r="D508">
            <v>1870</v>
          </cell>
          <cell r="E508">
            <v>18750</v>
          </cell>
          <cell r="F508">
            <v>10</v>
          </cell>
          <cell r="G508">
            <v>18810</v>
          </cell>
          <cell r="H508">
            <v>16890</v>
          </cell>
          <cell r="I508">
            <v>1920</v>
          </cell>
          <cell r="J508">
            <v>10.204732783834086</v>
          </cell>
        </row>
        <row r="509">
          <cell r="B509" t="str">
            <v>CT5307604</v>
          </cell>
          <cell r="C509">
            <v>16710</v>
          </cell>
          <cell r="D509">
            <v>1720</v>
          </cell>
          <cell r="E509">
            <v>18430</v>
          </cell>
          <cell r="F509">
            <v>9.3000000000000007</v>
          </cell>
          <cell r="G509">
            <v>18710</v>
          </cell>
          <cell r="H509">
            <v>16840</v>
          </cell>
          <cell r="I509">
            <v>1870</v>
          </cell>
          <cell r="J509">
            <v>9.993854046976459</v>
          </cell>
        </row>
        <row r="510">
          <cell r="B510" t="str">
            <v>CT5307605</v>
          </cell>
          <cell r="C510">
            <v>16810</v>
          </cell>
          <cell r="D510">
            <v>1730</v>
          </cell>
          <cell r="E510">
            <v>18540</v>
          </cell>
          <cell r="F510">
            <v>9.3000000000000007</v>
          </cell>
          <cell r="G510">
            <v>18680</v>
          </cell>
          <cell r="H510">
            <v>16830</v>
          </cell>
          <cell r="I510">
            <v>1840</v>
          </cell>
          <cell r="J510">
            <v>9.8589588442550085</v>
          </cell>
        </row>
        <row r="511">
          <cell r="B511" t="str">
            <v>CT5307606</v>
          </cell>
          <cell r="C511">
            <v>16790</v>
          </cell>
          <cell r="D511">
            <v>1920</v>
          </cell>
          <cell r="E511">
            <v>18710</v>
          </cell>
          <cell r="F511">
            <v>10.199999999999999</v>
          </cell>
          <cell r="G511">
            <v>18680</v>
          </cell>
          <cell r="H511">
            <v>16830</v>
          </cell>
          <cell r="I511">
            <v>1850</v>
          </cell>
          <cell r="J511">
            <v>9.923541534700723</v>
          </cell>
        </row>
        <row r="512">
          <cell r="B512" t="str">
            <v>CT5307607</v>
          </cell>
          <cell r="C512">
            <v>16780</v>
          </cell>
          <cell r="D512">
            <v>1930</v>
          </cell>
          <cell r="E512">
            <v>18710</v>
          </cell>
          <cell r="F512">
            <v>10.3</v>
          </cell>
          <cell r="G512">
            <v>18690</v>
          </cell>
          <cell r="H512">
            <v>16820</v>
          </cell>
          <cell r="I512">
            <v>1870</v>
          </cell>
          <cell r="J512">
            <v>9.9810394654352521</v>
          </cell>
        </row>
        <row r="513">
          <cell r="B513" t="str">
            <v>CT5307608</v>
          </cell>
          <cell r="C513" t="str">
            <v/>
          </cell>
          <cell r="D513" t="str">
            <v/>
          </cell>
          <cell r="E513" t="e">
            <v>#VALUE!</v>
          </cell>
          <cell r="F513" t="str">
            <v/>
          </cell>
          <cell r="G513" t="str">
            <v/>
          </cell>
          <cell r="H513" t="str">
            <v/>
          </cell>
          <cell r="I513" t="str">
            <v/>
          </cell>
          <cell r="J513" t="str">
            <v/>
          </cell>
        </row>
        <row r="514">
          <cell r="B514" t="str">
            <v>CT5307609</v>
          </cell>
          <cell r="C514" t="str">
            <v/>
          </cell>
          <cell r="D514" t="str">
            <v/>
          </cell>
          <cell r="E514" t="e">
            <v>#VALUE!</v>
          </cell>
          <cell r="F514" t="str">
            <v/>
          </cell>
          <cell r="G514" t="str">
            <v/>
          </cell>
          <cell r="H514" t="str">
            <v/>
          </cell>
          <cell r="I514" t="str">
            <v/>
          </cell>
          <cell r="J514" t="str">
            <v/>
          </cell>
        </row>
        <row r="515">
          <cell r="B515" t="str">
            <v>CT53076010</v>
          </cell>
          <cell r="C515" t="str">
            <v/>
          </cell>
          <cell r="D515" t="str">
            <v/>
          </cell>
          <cell r="E515" t="e">
            <v>#VALUE!</v>
          </cell>
          <cell r="F515" t="str">
            <v/>
          </cell>
          <cell r="G515" t="str">
            <v/>
          </cell>
          <cell r="H515" t="str">
            <v/>
          </cell>
          <cell r="I515" t="str">
            <v/>
          </cell>
          <cell r="J515" t="str">
            <v/>
          </cell>
        </row>
        <row r="516">
          <cell r="B516" t="str">
            <v>CT53076011</v>
          </cell>
          <cell r="C516" t="str">
            <v/>
          </cell>
          <cell r="D516" t="str">
            <v/>
          </cell>
          <cell r="E516" t="e">
            <v>#VALUE!</v>
          </cell>
          <cell r="F516" t="str">
            <v/>
          </cell>
          <cell r="G516" t="str">
            <v/>
          </cell>
          <cell r="H516" t="str">
            <v/>
          </cell>
          <cell r="I516" t="str">
            <v/>
          </cell>
          <cell r="J516" t="str">
            <v/>
          </cell>
        </row>
        <row r="517">
          <cell r="B517" t="str">
            <v>CT53076012</v>
          </cell>
          <cell r="C517" t="str">
            <v/>
          </cell>
          <cell r="D517" t="str">
            <v/>
          </cell>
          <cell r="E517" t="e">
            <v>#VALUE!</v>
          </cell>
          <cell r="F517" t="str">
            <v/>
          </cell>
          <cell r="G517" t="str">
            <v/>
          </cell>
          <cell r="H517" t="str">
            <v/>
          </cell>
          <cell r="I517" t="str">
            <v/>
          </cell>
          <cell r="J517" t="str">
            <v/>
          </cell>
        </row>
        <row r="518">
          <cell r="B518" t="str">
            <v>CT5307501</v>
          </cell>
          <cell r="C518">
            <v>29770</v>
          </cell>
          <cell r="D518">
            <v>2280</v>
          </cell>
          <cell r="E518">
            <v>32050</v>
          </cell>
          <cell r="F518">
            <v>7.1</v>
          </cell>
          <cell r="G518">
            <v>32050</v>
          </cell>
          <cell r="H518">
            <v>29770</v>
          </cell>
          <cell r="I518">
            <v>2280</v>
          </cell>
          <cell r="J518">
            <v>7.1</v>
          </cell>
        </row>
        <row r="519">
          <cell r="B519" t="str">
            <v>CT5307502</v>
          </cell>
          <cell r="C519">
            <v>29930</v>
          </cell>
          <cell r="D519">
            <v>2360</v>
          </cell>
          <cell r="E519">
            <v>32290</v>
          </cell>
          <cell r="F519">
            <v>7.3</v>
          </cell>
          <cell r="G519">
            <v>32170</v>
          </cell>
          <cell r="H519">
            <v>29850</v>
          </cell>
          <cell r="I519">
            <v>2320</v>
          </cell>
          <cell r="J519">
            <v>7.214460003419175</v>
          </cell>
        </row>
        <row r="520">
          <cell r="B520" t="str">
            <v>CT5307503</v>
          </cell>
          <cell r="C520">
            <v>29820</v>
          </cell>
          <cell r="D520">
            <v>2280</v>
          </cell>
          <cell r="E520">
            <v>32100</v>
          </cell>
          <cell r="F520">
            <v>7.1</v>
          </cell>
          <cell r="G520">
            <v>32150</v>
          </cell>
          <cell r="H520">
            <v>29840</v>
          </cell>
          <cell r="I520">
            <v>2310</v>
          </cell>
          <cell r="J520">
            <v>7.1731489066080485</v>
          </cell>
        </row>
        <row r="521">
          <cell r="B521" t="str">
            <v>CT5307504</v>
          </cell>
          <cell r="C521">
            <v>29530</v>
          </cell>
          <cell r="D521">
            <v>2040</v>
          </cell>
          <cell r="E521">
            <v>31570</v>
          </cell>
          <cell r="F521">
            <v>6.5</v>
          </cell>
          <cell r="G521">
            <v>32000</v>
          </cell>
          <cell r="H521">
            <v>29760</v>
          </cell>
          <cell r="I521">
            <v>2240</v>
          </cell>
          <cell r="J521">
            <v>6.9993984891923349</v>
          </cell>
        </row>
        <row r="522">
          <cell r="B522" t="str">
            <v>CT5307505</v>
          </cell>
          <cell r="C522">
            <v>29700</v>
          </cell>
          <cell r="D522">
            <v>2020</v>
          </cell>
          <cell r="E522">
            <v>31720</v>
          </cell>
          <cell r="F522">
            <v>6.4</v>
          </cell>
          <cell r="G522">
            <v>31950</v>
          </cell>
          <cell r="H522">
            <v>29750</v>
          </cell>
          <cell r="I522">
            <v>2200</v>
          </cell>
          <cell r="J522">
            <v>6.8752660706683688</v>
          </cell>
        </row>
        <row r="523">
          <cell r="B523" t="str">
            <v>CT5307506</v>
          </cell>
          <cell r="C523">
            <v>29680</v>
          </cell>
          <cell r="D523">
            <v>2320</v>
          </cell>
          <cell r="E523">
            <v>32000</v>
          </cell>
          <cell r="F523">
            <v>7.2</v>
          </cell>
          <cell r="G523">
            <v>31950</v>
          </cell>
          <cell r="H523">
            <v>29740</v>
          </cell>
          <cell r="I523">
            <v>2220</v>
          </cell>
          <cell r="J523">
            <v>6.9369829861364654</v>
          </cell>
        </row>
        <row r="524">
          <cell r="B524" t="str">
            <v>CT5307507</v>
          </cell>
          <cell r="C524">
            <v>29650</v>
          </cell>
          <cell r="D524">
            <v>2230</v>
          </cell>
          <cell r="E524">
            <v>31880</v>
          </cell>
          <cell r="F524">
            <v>7</v>
          </cell>
          <cell r="G524">
            <v>31940</v>
          </cell>
          <cell r="H524">
            <v>29730</v>
          </cell>
          <cell r="I524">
            <v>2220</v>
          </cell>
          <cell r="J524">
            <v>6.9464071695615619</v>
          </cell>
        </row>
        <row r="525">
          <cell r="B525" t="str">
            <v>CT5307508</v>
          </cell>
          <cell r="C525" t="str">
            <v/>
          </cell>
          <cell r="D525" t="str">
            <v/>
          </cell>
          <cell r="E525" t="e">
            <v>#VALUE!</v>
          </cell>
          <cell r="F525" t="str">
            <v/>
          </cell>
          <cell r="G525" t="str">
            <v/>
          </cell>
          <cell r="H525" t="str">
            <v/>
          </cell>
          <cell r="I525" t="str">
            <v/>
          </cell>
          <cell r="J525" t="str">
            <v/>
          </cell>
        </row>
        <row r="526">
          <cell r="B526" t="str">
            <v>CT5307509</v>
          </cell>
          <cell r="C526" t="str">
            <v/>
          </cell>
          <cell r="D526" t="str">
            <v/>
          </cell>
          <cell r="E526" t="e">
            <v>#VALUE!</v>
          </cell>
          <cell r="F526" t="str">
            <v/>
          </cell>
          <cell r="G526" t="str">
            <v/>
          </cell>
          <cell r="H526" t="str">
            <v/>
          </cell>
          <cell r="I526" t="str">
            <v/>
          </cell>
          <cell r="J526" t="str">
            <v/>
          </cell>
        </row>
        <row r="527">
          <cell r="B527" t="str">
            <v>CT53075010</v>
          </cell>
          <cell r="C527" t="str">
            <v/>
          </cell>
          <cell r="D527" t="str">
            <v/>
          </cell>
          <cell r="E527" t="e">
            <v>#VALUE!</v>
          </cell>
          <cell r="F527" t="str">
            <v/>
          </cell>
          <cell r="G527" t="str">
            <v/>
          </cell>
          <cell r="H527" t="str">
            <v/>
          </cell>
          <cell r="I527" t="str">
            <v/>
          </cell>
          <cell r="J527" t="str">
            <v/>
          </cell>
        </row>
        <row r="528">
          <cell r="B528" t="str">
            <v>CT53075011</v>
          </cell>
          <cell r="C528" t="str">
            <v/>
          </cell>
          <cell r="D528" t="str">
            <v/>
          </cell>
          <cell r="E528" t="e">
            <v>#VALUE!</v>
          </cell>
          <cell r="F528" t="str">
            <v/>
          </cell>
          <cell r="G528" t="str">
            <v/>
          </cell>
          <cell r="H528" t="str">
            <v/>
          </cell>
          <cell r="I528" t="str">
            <v/>
          </cell>
          <cell r="J528" t="str">
            <v/>
          </cell>
        </row>
        <row r="529">
          <cell r="B529" t="str">
            <v>CT53075012</v>
          </cell>
          <cell r="C529" t="str">
            <v/>
          </cell>
          <cell r="D529" t="str">
            <v/>
          </cell>
          <cell r="E529" t="e">
            <v>#VALUE!</v>
          </cell>
          <cell r="F529" t="str">
            <v/>
          </cell>
          <cell r="G529" t="str">
            <v/>
          </cell>
          <cell r="H529" t="str">
            <v/>
          </cell>
          <cell r="I529" t="str">
            <v/>
          </cell>
          <cell r="J529" t="str">
            <v/>
          </cell>
        </row>
        <row r="530">
          <cell r="B530" t="str">
            <v>CT5307001</v>
          </cell>
          <cell r="C530">
            <v>36480</v>
          </cell>
          <cell r="D530">
            <v>3920</v>
          </cell>
          <cell r="E530">
            <v>40400</v>
          </cell>
          <cell r="F530">
            <v>9.6999999999999993</v>
          </cell>
          <cell r="G530">
            <v>40400</v>
          </cell>
          <cell r="H530">
            <v>36480</v>
          </cell>
          <cell r="I530">
            <v>3920</v>
          </cell>
          <cell r="J530">
            <v>9.6999999999999993</v>
          </cell>
        </row>
        <row r="531">
          <cell r="B531" t="str">
            <v>CT5307002</v>
          </cell>
          <cell r="C531">
            <v>36890</v>
          </cell>
          <cell r="D531">
            <v>4100</v>
          </cell>
          <cell r="E531">
            <v>40990</v>
          </cell>
          <cell r="F531">
            <v>10</v>
          </cell>
          <cell r="G531">
            <v>40690</v>
          </cell>
          <cell r="H531">
            <v>36690</v>
          </cell>
          <cell r="I531">
            <v>4010</v>
          </cell>
          <cell r="J531">
            <v>9.8469024156488825</v>
          </cell>
        </row>
        <row r="532">
          <cell r="B532" t="str">
            <v>CT5307003</v>
          </cell>
          <cell r="C532">
            <v>36890</v>
          </cell>
          <cell r="D532">
            <v>4120</v>
          </cell>
          <cell r="E532">
            <v>41010</v>
          </cell>
          <cell r="F532">
            <v>10.1</v>
          </cell>
          <cell r="G532">
            <v>40800</v>
          </cell>
          <cell r="H532">
            <v>36750</v>
          </cell>
          <cell r="I532">
            <v>4050</v>
          </cell>
          <cell r="J532">
            <v>9.9161737311676852</v>
          </cell>
        </row>
        <row r="533">
          <cell r="B533" t="str">
            <v>CT5307004</v>
          </cell>
          <cell r="C533">
            <v>36780</v>
          </cell>
          <cell r="D533">
            <v>3910</v>
          </cell>
          <cell r="E533">
            <v>40690</v>
          </cell>
          <cell r="F533">
            <v>9.6</v>
          </cell>
          <cell r="G533">
            <v>40770</v>
          </cell>
          <cell r="H533">
            <v>36760</v>
          </cell>
          <cell r="I533">
            <v>4010</v>
          </cell>
          <cell r="J533">
            <v>9.8377543136749921</v>
          </cell>
        </row>
        <row r="534">
          <cell r="B534" t="str">
            <v>CT5307005</v>
          </cell>
          <cell r="C534">
            <v>37280</v>
          </cell>
          <cell r="D534">
            <v>4070</v>
          </cell>
          <cell r="E534">
            <v>41350</v>
          </cell>
          <cell r="F534">
            <v>9.8000000000000007</v>
          </cell>
          <cell r="G534">
            <v>40890</v>
          </cell>
          <cell r="H534">
            <v>36860</v>
          </cell>
          <cell r="I534">
            <v>4020</v>
          </cell>
          <cell r="J534">
            <v>9.8390165875038527</v>
          </cell>
        </row>
        <row r="535">
          <cell r="B535" t="str">
            <v>CT5307006</v>
          </cell>
          <cell r="C535">
            <v>39560</v>
          </cell>
          <cell r="D535">
            <v>4400</v>
          </cell>
          <cell r="E535">
            <v>43960</v>
          </cell>
          <cell r="F535">
            <v>10</v>
          </cell>
          <cell r="G535">
            <v>41400</v>
          </cell>
          <cell r="H535">
            <v>37310</v>
          </cell>
          <cell r="I535">
            <v>4090</v>
          </cell>
          <cell r="J535">
            <v>9.8707280054430324</v>
          </cell>
        </row>
        <row r="536">
          <cell r="B536" t="str">
            <v>CT5307007</v>
          </cell>
          <cell r="C536">
            <v>41210</v>
          </cell>
          <cell r="D536">
            <v>3780</v>
          </cell>
          <cell r="E536">
            <v>44990</v>
          </cell>
          <cell r="F536">
            <v>8.4</v>
          </cell>
          <cell r="G536">
            <v>41910</v>
          </cell>
          <cell r="H536">
            <v>37870</v>
          </cell>
          <cell r="I536">
            <v>4040</v>
          </cell>
          <cell r="J536">
            <v>9.6438066671211402</v>
          </cell>
        </row>
        <row r="537">
          <cell r="B537" t="str">
            <v>CT5307008</v>
          </cell>
          <cell r="C537" t="str">
            <v/>
          </cell>
          <cell r="D537" t="str">
            <v/>
          </cell>
          <cell r="E537" t="e">
            <v>#VALUE!</v>
          </cell>
          <cell r="F537" t="str">
            <v/>
          </cell>
          <cell r="G537" t="str">
            <v/>
          </cell>
          <cell r="H537" t="str">
            <v/>
          </cell>
          <cell r="I537" t="str">
            <v/>
          </cell>
          <cell r="J537" t="str">
            <v/>
          </cell>
        </row>
        <row r="538">
          <cell r="B538" t="str">
            <v>CT5307009</v>
          </cell>
          <cell r="C538" t="str">
            <v/>
          </cell>
          <cell r="D538" t="str">
            <v/>
          </cell>
          <cell r="E538" t="e">
            <v>#VALUE!</v>
          </cell>
          <cell r="F538" t="str">
            <v/>
          </cell>
          <cell r="G538" t="str">
            <v/>
          </cell>
          <cell r="H538" t="str">
            <v/>
          </cell>
          <cell r="I538" t="str">
            <v/>
          </cell>
          <cell r="J538" t="str">
            <v/>
          </cell>
        </row>
        <row r="539">
          <cell r="B539" t="str">
            <v>CT53070010</v>
          </cell>
          <cell r="C539" t="str">
            <v/>
          </cell>
          <cell r="D539" t="str">
            <v/>
          </cell>
          <cell r="E539" t="e">
            <v>#VALUE!</v>
          </cell>
          <cell r="F539" t="str">
            <v/>
          </cell>
          <cell r="G539" t="str">
            <v/>
          </cell>
          <cell r="H539" t="str">
            <v/>
          </cell>
          <cell r="I539" t="str">
            <v/>
          </cell>
          <cell r="J539" t="str">
            <v/>
          </cell>
        </row>
        <row r="540">
          <cell r="B540" t="str">
            <v>CT53070011</v>
          </cell>
          <cell r="C540" t="str">
            <v/>
          </cell>
          <cell r="D540" t="str">
            <v/>
          </cell>
          <cell r="E540" t="e">
            <v>#VALUE!</v>
          </cell>
          <cell r="F540" t="str">
            <v/>
          </cell>
          <cell r="G540" t="str">
            <v/>
          </cell>
          <cell r="H540" t="str">
            <v/>
          </cell>
          <cell r="I540" t="str">
            <v/>
          </cell>
          <cell r="J540" t="str">
            <v/>
          </cell>
        </row>
        <row r="541">
          <cell r="B541" t="str">
            <v>CT53070012</v>
          </cell>
          <cell r="C541" t="str">
            <v/>
          </cell>
          <cell r="D541" t="str">
            <v/>
          </cell>
          <cell r="E541" t="e">
            <v>#VALUE!</v>
          </cell>
          <cell r="F541" t="str">
            <v/>
          </cell>
          <cell r="G541" t="str">
            <v/>
          </cell>
          <cell r="H541" t="str">
            <v/>
          </cell>
          <cell r="I541" t="str">
            <v/>
          </cell>
          <cell r="J541" t="str">
            <v/>
          </cell>
        </row>
        <row r="542">
          <cell r="B542" t="str">
            <v>CT5306501</v>
          </cell>
          <cell r="C542">
            <v>13250</v>
          </cell>
          <cell r="D542">
            <v>1370</v>
          </cell>
          <cell r="E542">
            <v>14620</v>
          </cell>
          <cell r="F542">
            <v>9.4</v>
          </cell>
          <cell r="G542">
            <v>14620</v>
          </cell>
          <cell r="H542">
            <v>13250</v>
          </cell>
          <cell r="I542">
            <v>1370</v>
          </cell>
          <cell r="J542">
            <v>9.4</v>
          </cell>
        </row>
        <row r="543">
          <cell r="B543" t="str">
            <v>CT5306502</v>
          </cell>
          <cell r="C543">
            <v>13440</v>
          </cell>
          <cell r="D543">
            <v>1330</v>
          </cell>
          <cell r="E543">
            <v>14770</v>
          </cell>
          <cell r="F543">
            <v>9</v>
          </cell>
          <cell r="G543">
            <v>14700</v>
          </cell>
          <cell r="H543">
            <v>13350</v>
          </cell>
          <cell r="I543">
            <v>1350</v>
          </cell>
          <cell r="J543">
            <v>9.1827708219923796</v>
          </cell>
        </row>
        <row r="544">
          <cell r="B544" t="str">
            <v>CT5306503</v>
          </cell>
          <cell r="C544">
            <v>13670</v>
          </cell>
          <cell r="D544">
            <v>1350</v>
          </cell>
          <cell r="E544">
            <v>15020</v>
          </cell>
          <cell r="F544">
            <v>9</v>
          </cell>
          <cell r="G544">
            <v>14800</v>
          </cell>
          <cell r="H544">
            <v>13450</v>
          </cell>
          <cell r="I544">
            <v>1350</v>
          </cell>
          <cell r="J544">
            <v>9.1236602719985598</v>
          </cell>
        </row>
        <row r="545">
          <cell r="B545" t="str">
            <v>CT5306504</v>
          </cell>
          <cell r="C545">
            <v>13700</v>
          </cell>
          <cell r="D545">
            <v>1180</v>
          </cell>
          <cell r="E545">
            <v>14880</v>
          </cell>
          <cell r="F545">
            <v>7.9</v>
          </cell>
          <cell r="G545">
            <v>14820</v>
          </cell>
          <cell r="H545">
            <v>13520</v>
          </cell>
          <cell r="I545">
            <v>1310</v>
          </cell>
          <cell r="J545">
            <v>8.8269023205612509</v>
          </cell>
        </row>
        <row r="546">
          <cell r="B546" t="str">
            <v>CT5306505</v>
          </cell>
          <cell r="C546">
            <v>13910</v>
          </cell>
          <cell r="D546">
            <v>1240</v>
          </cell>
          <cell r="E546">
            <v>15150</v>
          </cell>
          <cell r="F546">
            <v>8.1999999999999993</v>
          </cell>
          <cell r="G546">
            <v>14890</v>
          </cell>
          <cell r="H546">
            <v>13590</v>
          </cell>
          <cell r="I546">
            <v>1300</v>
          </cell>
          <cell r="J546">
            <v>8.6976962858486129</v>
          </cell>
        </row>
        <row r="547">
          <cell r="B547" t="str">
            <v>CT5306506</v>
          </cell>
          <cell r="C547">
            <v>14170</v>
          </cell>
          <cell r="D547">
            <v>1230</v>
          </cell>
          <cell r="E547">
            <v>15400</v>
          </cell>
          <cell r="F547">
            <v>8</v>
          </cell>
          <cell r="G547">
            <v>14970</v>
          </cell>
          <cell r="H547">
            <v>13690</v>
          </cell>
          <cell r="I547">
            <v>1280</v>
          </cell>
          <cell r="J547">
            <v>8.572191858588333</v>
          </cell>
        </row>
        <row r="548">
          <cell r="B548" t="str">
            <v>CT5306507</v>
          </cell>
          <cell r="C548">
            <v>13950</v>
          </cell>
          <cell r="D548">
            <v>1130</v>
          </cell>
          <cell r="E548">
            <v>15080</v>
          </cell>
          <cell r="F548">
            <v>7.5</v>
          </cell>
          <cell r="G548">
            <v>14990</v>
          </cell>
          <cell r="H548">
            <v>13730</v>
          </cell>
          <cell r="I548">
            <v>1260</v>
          </cell>
          <cell r="J548">
            <v>8.4182433398465424</v>
          </cell>
        </row>
        <row r="549">
          <cell r="B549" t="str">
            <v>CT5306508</v>
          </cell>
          <cell r="C549" t="str">
            <v/>
          </cell>
          <cell r="D549" t="str">
            <v/>
          </cell>
          <cell r="E549" t="e">
            <v>#VALUE!</v>
          </cell>
          <cell r="F549" t="str">
            <v/>
          </cell>
          <cell r="G549" t="str">
            <v/>
          </cell>
          <cell r="H549" t="str">
            <v/>
          </cell>
          <cell r="I549" t="str">
            <v/>
          </cell>
          <cell r="J549" t="str">
            <v/>
          </cell>
        </row>
        <row r="550">
          <cell r="B550" t="str">
            <v>CT5306509</v>
          </cell>
          <cell r="C550" t="str">
            <v/>
          </cell>
          <cell r="D550" t="str">
            <v/>
          </cell>
          <cell r="E550" t="e">
            <v>#VALUE!</v>
          </cell>
          <cell r="F550" t="str">
            <v/>
          </cell>
          <cell r="G550" t="str">
            <v/>
          </cell>
          <cell r="H550" t="str">
            <v/>
          </cell>
          <cell r="I550" t="str">
            <v/>
          </cell>
          <cell r="J550" t="str">
            <v/>
          </cell>
        </row>
        <row r="551">
          <cell r="B551" t="str">
            <v>CT53065010</v>
          </cell>
          <cell r="C551" t="str">
            <v/>
          </cell>
          <cell r="D551" t="str">
            <v/>
          </cell>
          <cell r="E551" t="e">
            <v>#VALUE!</v>
          </cell>
          <cell r="F551" t="str">
            <v/>
          </cell>
          <cell r="G551" t="str">
            <v/>
          </cell>
          <cell r="H551" t="str">
            <v/>
          </cell>
          <cell r="I551" t="str">
            <v/>
          </cell>
          <cell r="J551" t="str">
            <v/>
          </cell>
        </row>
        <row r="552">
          <cell r="B552" t="str">
            <v>CT53065011</v>
          </cell>
          <cell r="C552" t="str">
            <v/>
          </cell>
          <cell r="D552" t="str">
            <v/>
          </cell>
          <cell r="E552" t="e">
            <v>#VALUE!</v>
          </cell>
          <cell r="F552" t="str">
            <v/>
          </cell>
          <cell r="G552" t="str">
            <v/>
          </cell>
          <cell r="H552" t="str">
            <v/>
          </cell>
          <cell r="I552" t="str">
            <v/>
          </cell>
          <cell r="J552" t="str">
            <v/>
          </cell>
        </row>
        <row r="553">
          <cell r="B553" t="str">
            <v>CT53065012</v>
          </cell>
          <cell r="C553" t="str">
            <v/>
          </cell>
          <cell r="D553" t="str">
            <v/>
          </cell>
          <cell r="E553" t="e">
            <v>#VALUE!</v>
          </cell>
          <cell r="F553" t="str">
            <v/>
          </cell>
          <cell r="G553" t="str">
            <v/>
          </cell>
          <cell r="H553" t="str">
            <v/>
          </cell>
          <cell r="I553" t="str">
            <v/>
          </cell>
          <cell r="J553" t="str">
            <v/>
          </cell>
        </row>
        <row r="554">
          <cell r="B554" t="str">
            <v>CT5306001</v>
          </cell>
          <cell r="C554">
            <v>72410</v>
          </cell>
          <cell r="D554">
            <v>11250</v>
          </cell>
          <cell r="E554">
            <v>83660</v>
          </cell>
          <cell r="F554">
            <v>13.4</v>
          </cell>
          <cell r="G554">
            <v>83660</v>
          </cell>
          <cell r="H554">
            <v>72410</v>
          </cell>
          <cell r="I554">
            <v>11250</v>
          </cell>
          <cell r="J554">
            <v>13.4</v>
          </cell>
        </row>
        <row r="555">
          <cell r="B555" t="str">
            <v>CT5306002</v>
          </cell>
          <cell r="C555">
            <v>72680</v>
          </cell>
          <cell r="D555">
            <v>11050</v>
          </cell>
          <cell r="E555">
            <v>83730</v>
          </cell>
          <cell r="F555">
            <v>13.2</v>
          </cell>
          <cell r="G555">
            <v>83690</v>
          </cell>
          <cell r="H555">
            <v>72550</v>
          </cell>
          <cell r="I555">
            <v>11150</v>
          </cell>
          <cell r="J555">
            <v>13.318318138912455</v>
          </cell>
        </row>
        <row r="556">
          <cell r="B556" t="str">
            <v>CT5306003</v>
          </cell>
          <cell r="C556">
            <v>72480</v>
          </cell>
          <cell r="D556">
            <v>11120</v>
          </cell>
          <cell r="E556">
            <v>83600</v>
          </cell>
          <cell r="F556">
            <v>13.3</v>
          </cell>
          <cell r="G556">
            <v>83660</v>
          </cell>
          <cell r="H556">
            <v>72520</v>
          </cell>
          <cell r="I556">
            <v>11140</v>
          </cell>
          <cell r="J556">
            <v>13.313093160574693</v>
          </cell>
        </row>
        <row r="557">
          <cell r="B557" t="str">
            <v>CT5306004</v>
          </cell>
          <cell r="C557">
            <v>72480</v>
          </cell>
          <cell r="D557">
            <v>11010</v>
          </cell>
          <cell r="E557">
            <v>83490</v>
          </cell>
          <cell r="F557">
            <v>13.2</v>
          </cell>
          <cell r="G557">
            <v>83620</v>
          </cell>
          <cell r="H557">
            <v>72510</v>
          </cell>
          <cell r="I557">
            <v>11110</v>
          </cell>
          <cell r="J557">
            <v>13.281450875105389</v>
          </cell>
        </row>
        <row r="558">
          <cell r="B558" t="str">
            <v>CT5306005</v>
          </cell>
          <cell r="C558">
            <v>72660</v>
          </cell>
          <cell r="D558">
            <v>11050</v>
          </cell>
          <cell r="E558">
            <v>83710</v>
          </cell>
          <cell r="F558">
            <v>13.2</v>
          </cell>
          <cell r="G558">
            <v>83640</v>
          </cell>
          <cell r="H558">
            <v>72540</v>
          </cell>
          <cell r="I558">
            <v>11090</v>
          </cell>
          <cell r="J558">
            <v>13.264320319860731</v>
          </cell>
        </row>
        <row r="559">
          <cell r="B559" t="str">
            <v>CT5306006</v>
          </cell>
          <cell r="C559">
            <v>71580</v>
          </cell>
          <cell r="D559">
            <v>10420</v>
          </cell>
          <cell r="E559">
            <v>82000</v>
          </cell>
          <cell r="F559">
            <v>12.7</v>
          </cell>
          <cell r="G559">
            <v>83360</v>
          </cell>
          <cell r="H559">
            <v>72380</v>
          </cell>
          <cell r="I559">
            <v>10980</v>
          </cell>
          <cell r="J559">
            <v>13.172310657405964</v>
          </cell>
        </row>
        <row r="560">
          <cell r="B560" t="str">
            <v>CT5306007</v>
          </cell>
          <cell r="C560">
            <v>70060</v>
          </cell>
          <cell r="D560">
            <v>7940</v>
          </cell>
          <cell r="E560">
            <v>78000</v>
          </cell>
          <cell r="F560">
            <v>10.199999999999999</v>
          </cell>
          <cell r="G560">
            <v>82600</v>
          </cell>
          <cell r="H560">
            <v>72050</v>
          </cell>
          <cell r="I560">
            <v>10550</v>
          </cell>
          <cell r="J560">
            <v>12.768128625638649</v>
          </cell>
        </row>
        <row r="561">
          <cell r="B561" t="str">
            <v>CT5306008</v>
          </cell>
          <cell r="C561" t="str">
            <v/>
          </cell>
          <cell r="D561" t="str">
            <v/>
          </cell>
          <cell r="E561" t="e">
            <v>#VALUE!</v>
          </cell>
          <cell r="F561" t="str">
            <v/>
          </cell>
          <cell r="G561" t="str">
            <v/>
          </cell>
          <cell r="H561" t="str">
            <v/>
          </cell>
          <cell r="I561" t="str">
            <v/>
          </cell>
          <cell r="J561" t="str">
            <v/>
          </cell>
        </row>
        <row r="562">
          <cell r="B562" t="str">
            <v>CT5306009</v>
          </cell>
          <cell r="C562" t="str">
            <v/>
          </cell>
          <cell r="D562" t="str">
            <v/>
          </cell>
          <cell r="E562" t="e">
            <v>#VALUE!</v>
          </cell>
          <cell r="F562" t="str">
            <v/>
          </cell>
          <cell r="G562" t="str">
            <v/>
          </cell>
          <cell r="H562" t="str">
            <v/>
          </cell>
          <cell r="I562" t="str">
            <v/>
          </cell>
          <cell r="J562" t="str">
            <v/>
          </cell>
        </row>
        <row r="563">
          <cell r="B563" t="str">
            <v>CT53060010</v>
          </cell>
          <cell r="C563" t="str">
            <v/>
          </cell>
          <cell r="D563" t="str">
            <v/>
          </cell>
          <cell r="E563" t="e">
            <v>#VALUE!</v>
          </cell>
          <cell r="F563" t="str">
            <v/>
          </cell>
          <cell r="G563" t="str">
            <v/>
          </cell>
          <cell r="H563" t="str">
            <v/>
          </cell>
          <cell r="I563" t="str">
            <v/>
          </cell>
          <cell r="J563" t="str">
            <v/>
          </cell>
        </row>
        <row r="564">
          <cell r="B564" t="str">
            <v>CT53060011</v>
          </cell>
          <cell r="C564" t="str">
            <v/>
          </cell>
          <cell r="D564" t="str">
            <v/>
          </cell>
          <cell r="E564" t="e">
            <v>#VALUE!</v>
          </cell>
          <cell r="F564" t="str">
            <v/>
          </cell>
          <cell r="G564" t="str">
            <v/>
          </cell>
          <cell r="H564" t="str">
            <v/>
          </cell>
          <cell r="I564" t="str">
            <v/>
          </cell>
          <cell r="J564" t="str">
            <v/>
          </cell>
        </row>
        <row r="565">
          <cell r="B565" t="str">
            <v>CT53060012</v>
          </cell>
          <cell r="C565" t="str">
            <v/>
          </cell>
          <cell r="D565" t="str">
            <v/>
          </cell>
          <cell r="E565" t="e">
            <v>#VALUE!</v>
          </cell>
          <cell r="F565" t="str">
            <v/>
          </cell>
          <cell r="G565" t="str">
            <v/>
          </cell>
          <cell r="H565" t="str">
            <v/>
          </cell>
          <cell r="I565" t="str">
            <v/>
          </cell>
          <cell r="J565" t="str">
            <v/>
          </cell>
        </row>
        <row r="566">
          <cell r="B566" t="str">
            <v>CT5304401</v>
          </cell>
          <cell r="C566">
            <v>42060</v>
          </cell>
          <cell r="D566">
            <v>5100</v>
          </cell>
          <cell r="E566">
            <v>47160</v>
          </cell>
          <cell r="F566">
            <v>10.8</v>
          </cell>
          <cell r="G566">
            <v>47150</v>
          </cell>
          <cell r="H566">
            <v>42060</v>
          </cell>
          <cell r="I566">
            <v>5100</v>
          </cell>
          <cell r="J566">
            <v>10.8</v>
          </cell>
        </row>
        <row r="567">
          <cell r="B567" t="str">
            <v>CT5304402</v>
          </cell>
          <cell r="C567">
            <v>42060</v>
          </cell>
          <cell r="D567">
            <v>5030</v>
          </cell>
          <cell r="E567">
            <v>47090</v>
          </cell>
          <cell r="F567">
            <v>10.7</v>
          </cell>
          <cell r="G567">
            <v>47120</v>
          </cell>
          <cell r="H567">
            <v>42060</v>
          </cell>
          <cell r="I567">
            <v>5060</v>
          </cell>
          <cell r="J567">
            <v>10.747405725441929</v>
          </cell>
        </row>
        <row r="568">
          <cell r="B568" t="str">
            <v>CT5304403</v>
          </cell>
          <cell r="C568">
            <v>42120</v>
          </cell>
          <cell r="D568">
            <v>4910</v>
          </cell>
          <cell r="E568">
            <v>47030</v>
          </cell>
          <cell r="F568">
            <v>10.4</v>
          </cell>
          <cell r="G568">
            <v>47090</v>
          </cell>
          <cell r="H568">
            <v>42080</v>
          </cell>
          <cell r="I568">
            <v>5010</v>
          </cell>
          <cell r="J568">
            <v>10.646129452403873</v>
          </cell>
        </row>
        <row r="569">
          <cell r="B569" t="str">
            <v>CT5304404</v>
          </cell>
          <cell r="C569">
            <v>42600</v>
          </cell>
          <cell r="D569">
            <v>4220</v>
          </cell>
          <cell r="E569">
            <v>46820</v>
          </cell>
          <cell r="F569">
            <v>9</v>
          </cell>
          <cell r="G569">
            <v>47020</v>
          </cell>
          <cell r="H569">
            <v>42210</v>
          </cell>
          <cell r="I569">
            <v>4820</v>
          </cell>
          <cell r="J569">
            <v>10.240883789919138</v>
          </cell>
        </row>
        <row r="570">
          <cell r="B570" t="str">
            <v>CT5304405</v>
          </cell>
          <cell r="C570">
            <v>42530</v>
          </cell>
          <cell r="D570">
            <v>4110</v>
          </cell>
          <cell r="E570">
            <v>46640</v>
          </cell>
          <cell r="F570">
            <v>8.8000000000000007</v>
          </cell>
          <cell r="G570">
            <v>46950</v>
          </cell>
          <cell r="H570">
            <v>42270</v>
          </cell>
          <cell r="I570">
            <v>4670</v>
          </cell>
          <cell r="J570">
            <v>9.9553101661916514</v>
          </cell>
        </row>
        <row r="571">
          <cell r="B571" t="str">
            <v>CT5304406</v>
          </cell>
          <cell r="C571">
            <v>41910</v>
          </cell>
          <cell r="D571">
            <v>4230</v>
          </cell>
          <cell r="E571">
            <v>46140</v>
          </cell>
          <cell r="F571">
            <v>9.1999999999999993</v>
          </cell>
          <cell r="G571">
            <v>46810</v>
          </cell>
          <cell r="H571">
            <v>42210</v>
          </cell>
          <cell r="I571">
            <v>4600</v>
          </cell>
          <cell r="J571">
            <v>9.8265751893217868</v>
          </cell>
        </row>
        <row r="572">
          <cell r="B572" t="str">
            <v>CT5304407</v>
          </cell>
          <cell r="C572">
            <v>42290</v>
          </cell>
          <cell r="D572">
            <v>3970</v>
          </cell>
          <cell r="E572">
            <v>46260</v>
          </cell>
          <cell r="F572">
            <v>8.6</v>
          </cell>
          <cell r="G572">
            <v>46730</v>
          </cell>
          <cell r="H572">
            <v>42220</v>
          </cell>
          <cell r="I572">
            <v>4510</v>
          </cell>
          <cell r="J572">
            <v>9.6510319866966654</v>
          </cell>
        </row>
        <row r="573">
          <cell r="B573" t="str">
            <v>CT5304408</v>
          </cell>
          <cell r="C573" t="str">
            <v/>
          </cell>
          <cell r="D573" t="str">
            <v/>
          </cell>
          <cell r="E573" t="e">
            <v>#VALUE!</v>
          </cell>
          <cell r="F573" t="str">
            <v/>
          </cell>
          <cell r="G573" t="str">
            <v/>
          </cell>
          <cell r="H573" t="str">
            <v/>
          </cell>
          <cell r="I573" t="str">
            <v/>
          </cell>
          <cell r="J573" t="str">
            <v/>
          </cell>
        </row>
        <row r="574">
          <cell r="B574" t="str">
            <v>CT5304409</v>
          </cell>
          <cell r="C574" t="str">
            <v/>
          </cell>
          <cell r="D574" t="str">
            <v/>
          </cell>
          <cell r="E574" t="e">
            <v>#VALUE!</v>
          </cell>
          <cell r="F574" t="str">
            <v/>
          </cell>
          <cell r="G574" t="str">
            <v/>
          </cell>
          <cell r="H574" t="str">
            <v/>
          </cell>
          <cell r="I574" t="str">
            <v/>
          </cell>
          <cell r="J574" t="str">
            <v/>
          </cell>
        </row>
        <row r="575">
          <cell r="B575" t="str">
            <v>CT53044010</v>
          </cell>
          <cell r="C575" t="str">
            <v/>
          </cell>
          <cell r="D575" t="str">
            <v/>
          </cell>
          <cell r="E575" t="e">
            <v>#VALUE!</v>
          </cell>
          <cell r="F575" t="str">
            <v/>
          </cell>
          <cell r="G575" t="str">
            <v/>
          </cell>
          <cell r="H575" t="str">
            <v/>
          </cell>
          <cell r="I575" t="str">
            <v/>
          </cell>
          <cell r="J575" t="str">
            <v/>
          </cell>
        </row>
        <row r="576">
          <cell r="B576" t="str">
            <v>CT53044011</v>
          </cell>
          <cell r="C576" t="str">
            <v/>
          </cell>
          <cell r="D576" t="str">
            <v/>
          </cell>
          <cell r="E576" t="e">
            <v>#VALUE!</v>
          </cell>
          <cell r="F576" t="str">
            <v/>
          </cell>
          <cell r="G576" t="str">
            <v/>
          </cell>
          <cell r="H576" t="str">
            <v/>
          </cell>
          <cell r="I576" t="str">
            <v/>
          </cell>
          <cell r="J576" t="str">
            <v/>
          </cell>
        </row>
        <row r="577">
          <cell r="B577" t="str">
            <v>CT53044012</v>
          </cell>
          <cell r="C577" t="str">
            <v/>
          </cell>
          <cell r="D577" t="str">
            <v/>
          </cell>
          <cell r="E577" t="e">
            <v>#VALUE!</v>
          </cell>
          <cell r="F577" t="str">
            <v/>
          </cell>
          <cell r="G577" t="str">
            <v/>
          </cell>
          <cell r="H577" t="str">
            <v/>
          </cell>
          <cell r="I577" t="str">
            <v/>
          </cell>
          <cell r="J577" t="str">
            <v/>
          </cell>
        </row>
        <row r="578">
          <cell r="B578" t="str">
            <v>CT5304201</v>
          </cell>
          <cell r="C578">
            <v>26260</v>
          </cell>
          <cell r="D578">
            <v>2420</v>
          </cell>
          <cell r="E578">
            <v>28680</v>
          </cell>
          <cell r="F578">
            <v>8.4</v>
          </cell>
          <cell r="G578">
            <v>28680</v>
          </cell>
          <cell r="H578">
            <v>26260</v>
          </cell>
          <cell r="I578">
            <v>2420</v>
          </cell>
          <cell r="J578">
            <v>8.4</v>
          </cell>
        </row>
        <row r="579">
          <cell r="B579" t="str">
            <v>CT5304202</v>
          </cell>
          <cell r="C579">
            <v>26410</v>
          </cell>
          <cell r="D579">
            <v>2550</v>
          </cell>
          <cell r="E579">
            <v>28960</v>
          </cell>
          <cell r="F579">
            <v>8.8000000000000007</v>
          </cell>
          <cell r="G579">
            <v>28820</v>
          </cell>
          <cell r="H579">
            <v>26330</v>
          </cell>
          <cell r="I579">
            <v>2490</v>
          </cell>
          <cell r="J579">
            <v>8.6314584128526306</v>
          </cell>
        </row>
        <row r="580">
          <cell r="B580" t="str">
            <v>CT5304203</v>
          </cell>
          <cell r="C580">
            <v>26310</v>
          </cell>
          <cell r="D580">
            <v>2490</v>
          </cell>
          <cell r="E580">
            <v>28800</v>
          </cell>
          <cell r="F580">
            <v>8.6</v>
          </cell>
          <cell r="G580">
            <v>28810</v>
          </cell>
          <cell r="H580">
            <v>26320</v>
          </cell>
          <cell r="I580">
            <v>2490</v>
          </cell>
          <cell r="J580">
            <v>8.6322195483154385</v>
          </cell>
        </row>
        <row r="581">
          <cell r="B581" t="str">
            <v>CT5304204</v>
          </cell>
          <cell r="C581">
            <v>26050</v>
          </cell>
          <cell r="D581">
            <v>2250</v>
          </cell>
          <cell r="E581">
            <v>28300</v>
          </cell>
          <cell r="F581">
            <v>8</v>
          </cell>
          <cell r="G581">
            <v>28680</v>
          </cell>
          <cell r="H581">
            <v>26250</v>
          </cell>
          <cell r="I581">
            <v>2430</v>
          </cell>
          <cell r="J581">
            <v>8.4660373575992125</v>
          </cell>
        </row>
        <row r="582">
          <cell r="B582" t="str">
            <v>CT5304205</v>
          </cell>
          <cell r="C582">
            <v>26200</v>
          </cell>
          <cell r="D582">
            <v>2190</v>
          </cell>
          <cell r="E582">
            <v>28390</v>
          </cell>
          <cell r="F582">
            <v>7.7</v>
          </cell>
          <cell r="G582">
            <v>28620</v>
          </cell>
          <cell r="H582">
            <v>26240</v>
          </cell>
          <cell r="I582">
            <v>2380</v>
          </cell>
          <cell r="J582">
            <v>8.3144669908882562</v>
          </cell>
        </row>
        <row r="583">
          <cell r="B583" t="str">
            <v>CT5304206</v>
          </cell>
          <cell r="C583">
            <v>26180</v>
          </cell>
          <cell r="D583">
            <v>2590</v>
          </cell>
          <cell r="E583">
            <v>28770</v>
          </cell>
          <cell r="F583">
            <v>9</v>
          </cell>
          <cell r="G583">
            <v>28650</v>
          </cell>
          <cell r="H583">
            <v>26230</v>
          </cell>
          <cell r="I583">
            <v>2410</v>
          </cell>
          <cell r="J583">
            <v>8.4281691451977014</v>
          </cell>
        </row>
        <row r="584">
          <cell r="B584" t="str">
            <v>CT5304207</v>
          </cell>
          <cell r="C584">
            <v>26160</v>
          </cell>
          <cell r="D584">
            <v>2560</v>
          </cell>
          <cell r="E584">
            <v>28720</v>
          </cell>
          <cell r="F584">
            <v>8.9</v>
          </cell>
          <cell r="G584">
            <v>28660</v>
          </cell>
          <cell r="H584">
            <v>26220</v>
          </cell>
          <cell r="I584">
            <v>2440</v>
          </cell>
          <cell r="J584">
            <v>8.4982601673031102</v>
          </cell>
        </row>
        <row r="585">
          <cell r="B585" t="str">
            <v>CT5304208</v>
          </cell>
          <cell r="C585" t="str">
            <v/>
          </cell>
          <cell r="D585" t="str">
            <v/>
          </cell>
          <cell r="E585" t="e">
            <v>#VALUE!</v>
          </cell>
          <cell r="F585" t="str">
            <v/>
          </cell>
          <cell r="G585" t="str">
            <v/>
          </cell>
          <cell r="H585" t="str">
            <v/>
          </cell>
          <cell r="I585" t="str">
            <v/>
          </cell>
          <cell r="J585" t="str">
            <v/>
          </cell>
        </row>
        <row r="586">
          <cell r="B586" t="str">
            <v>CT5304209</v>
          </cell>
          <cell r="C586" t="str">
            <v/>
          </cell>
          <cell r="D586" t="str">
            <v/>
          </cell>
          <cell r="E586" t="e">
            <v>#VALUE!</v>
          </cell>
          <cell r="F586" t="str">
            <v/>
          </cell>
          <cell r="G586" t="str">
            <v/>
          </cell>
          <cell r="H586" t="str">
            <v/>
          </cell>
          <cell r="I586" t="str">
            <v/>
          </cell>
          <cell r="J586" t="str">
            <v/>
          </cell>
        </row>
        <row r="587">
          <cell r="B587" t="str">
            <v>CT53042010</v>
          </cell>
          <cell r="C587" t="str">
            <v/>
          </cell>
          <cell r="D587" t="str">
            <v/>
          </cell>
          <cell r="E587" t="e">
            <v>#VALUE!</v>
          </cell>
          <cell r="F587" t="str">
            <v/>
          </cell>
          <cell r="G587" t="str">
            <v/>
          </cell>
          <cell r="H587" t="str">
            <v/>
          </cell>
          <cell r="I587" t="str">
            <v/>
          </cell>
          <cell r="J587" t="str">
            <v/>
          </cell>
        </row>
        <row r="588">
          <cell r="B588" t="str">
            <v>CT53042011</v>
          </cell>
          <cell r="C588" t="str">
            <v/>
          </cell>
          <cell r="D588" t="str">
            <v/>
          </cell>
          <cell r="E588" t="e">
            <v>#VALUE!</v>
          </cell>
          <cell r="F588" t="str">
            <v/>
          </cell>
          <cell r="G588" t="str">
            <v/>
          </cell>
          <cell r="H588" t="str">
            <v/>
          </cell>
          <cell r="I588" t="str">
            <v/>
          </cell>
          <cell r="J588" t="str">
            <v/>
          </cell>
        </row>
        <row r="589">
          <cell r="B589" t="str">
            <v>CT53042012</v>
          </cell>
          <cell r="C589" t="str">
            <v/>
          </cell>
          <cell r="D589" t="str">
            <v/>
          </cell>
          <cell r="E589" t="e">
            <v>#VALUE!</v>
          </cell>
          <cell r="F589" t="str">
            <v/>
          </cell>
          <cell r="G589" t="str">
            <v/>
          </cell>
          <cell r="H589" t="str">
            <v/>
          </cell>
          <cell r="I589" t="str">
            <v/>
          </cell>
          <cell r="J589" t="str">
            <v/>
          </cell>
        </row>
        <row r="590">
          <cell r="B590" t="str">
            <v>CT5304001</v>
          </cell>
          <cell r="C590">
            <v>24890</v>
          </cell>
          <cell r="D590">
            <v>1630</v>
          </cell>
          <cell r="E590">
            <v>26520</v>
          </cell>
          <cell r="F590">
            <v>6.1</v>
          </cell>
          <cell r="G590">
            <v>26520</v>
          </cell>
          <cell r="H590">
            <v>24890</v>
          </cell>
          <cell r="I590">
            <v>1630</v>
          </cell>
          <cell r="J590">
            <v>6.1</v>
          </cell>
        </row>
        <row r="591">
          <cell r="B591" t="str">
            <v>CT5304002</v>
          </cell>
          <cell r="C591">
            <v>24980</v>
          </cell>
          <cell r="D591">
            <v>1640</v>
          </cell>
          <cell r="E591">
            <v>26620</v>
          </cell>
          <cell r="F591">
            <v>6.2</v>
          </cell>
          <cell r="G591">
            <v>26570</v>
          </cell>
          <cell r="H591">
            <v>24930</v>
          </cell>
          <cell r="I591">
            <v>1630</v>
          </cell>
          <cell r="J591">
            <v>6.1502559470039149</v>
          </cell>
        </row>
        <row r="592">
          <cell r="B592" t="str">
            <v>CT5304003</v>
          </cell>
          <cell r="C592">
            <v>25310</v>
          </cell>
          <cell r="D592">
            <v>1710</v>
          </cell>
          <cell r="E592">
            <v>27020</v>
          </cell>
          <cell r="F592">
            <v>6.3</v>
          </cell>
          <cell r="G592">
            <v>26720</v>
          </cell>
          <cell r="H592">
            <v>25060</v>
          </cell>
          <cell r="I592">
            <v>1660</v>
          </cell>
          <cell r="J592">
            <v>6.2113273453093818</v>
          </cell>
        </row>
        <row r="593">
          <cell r="B593" t="str">
            <v>CT5304004</v>
          </cell>
          <cell r="C593">
            <v>25390</v>
          </cell>
          <cell r="D593">
            <v>1490</v>
          </cell>
          <cell r="E593">
            <v>26880</v>
          </cell>
          <cell r="F593">
            <v>5.5</v>
          </cell>
          <cell r="G593">
            <v>26760</v>
          </cell>
          <cell r="H593">
            <v>25140</v>
          </cell>
          <cell r="I593">
            <v>1620</v>
          </cell>
          <cell r="J593">
            <v>6.0451212107057772</v>
          </cell>
        </row>
        <row r="594">
          <cell r="B594" t="str">
            <v>CT5304005</v>
          </cell>
          <cell r="C594">
            <v>25520</v>
          </cell>
          <cell r="D594">
            <v>1600</v>
          </cell>
          <cell r="E594">
            <v>27120</v>
          </cell>
          <cell r="F594">
            <v>5.9</v>
          </cell>
          <cell r="G594">
            <v>26830</v>
          </cell>
          <cell r="H594">
            <v>25220</v>
          </cell>
          <cell r="I594">
            <v>1610</v>
          </cell>
          <cell r="J594">
            <v>6.0150712193376723</v>
          </cell>
        </row>
        <row r="595">
          <cell r="B595" t="str">
            <v>CT5304006</v>
          </cell>
          <cell r="C595">
            <v>26450</v>
          </cell>
          <cell r="D595">
            <v>1720</v>
          </cell>
          <cell r="E595">
            <v>28170</v>
          </cell>
          <cell r="F595">
            <v>6.1</v>
          </cell>
          <cell r="G595">
            <v>27060</v>
          </cell>
          <cell r="H595">
            <v>25420</v>
          </cell>
          <cell r="I595">
            <v>1630</v>
          </cell>
          <cell r="J595">
            <v>6.0283491341871338</v>
          </cell>
        </row>
        <row r="596">
          <cell r="B596" t="str">
            <v>CT5304007</v>
          </cell>
          <cell r="C596">
            <v>25890</v>
          </cell>
          <cell r="D596">
            <v>1660</v>
          </cell>
          <cell r="E596">
            <v>27550</v>
          </cell>
          <cell r="F596">
            <v>6</v>
          </cell>
          <cell r="G596">
            <v>27130</v>
          </cell>
          <cell r="H596">
            <v>25490</v>
          </cell>
          <cell r="I596">
            <v>1630</v>
          </cell>
          <cell r="J596">
            <v>6.0270913648907705</v>
          </cell>
        </row>
        <row r="597">
          <cell r="B597" t="str">
            <v>CT5304008</v>
          </cell>
          <cell r="C597" t="str">
            <v/>
          </cell>
          <cell r="D597" t="str">
            <v/>
          </cell>
          <cell r="E597" t="e">
            <v>#VALUE!</v>
          </cell>
          <cell r="F597" t="str">
            <v/>
          </cell>
          <cell r="G597" t="str">
            <v/>
          </cell>
          <cell r="H597" t="str">
            <v/>
          </cell>
          <cell r="I597" t="str">
            <v/>
          </cell>
          <cell r="J597" t="str">
            <v/>
          </cell>
        </row>
        <row r="598">
          <cell r="B598" t="str">
            <v>CT5304009</v>
          </cell>
          <cell r="C598" t="str">
            <v/>
          </cell>
          <cell r="D598" t="str">
            <v/>
          </cell>
          <cell r="E598" t="e">
            <v>#VALUE!</v>
          </cell>
          <cell r="F598" t="str">
            <v/>
          </cell>
          <cell r="G598" t="str">
            <v/>
          </cell>
          <cell r="H598" t="str">
            <v/>
          </cell>
          <cell r="I598" t="str">
            <v/>
          </cell>
          <cell r="J598" t="str">
            <v/>
          </cell>
        </row>
        <row r="599">
          <cell r="B599" t="str">
            <v>CT53040010</v>
          </cell>
          <cell r="C599" t="str">
            <v/>
          </cell>
          <cell r="D599" t="str">
            <v/>
          </cell>
          <cell r="E599" t="e">
            <v>#VALUE!</v>
          </cell>
          <cell r="F599" t="str">
            <v/>
          </cell>
          <cell r="G599" t="str">
            <v/>
          </cell>
          <cell r="H599" t="str">
            <v/>
          </cell>
          <cell r="I599" t="str">
            <v/>
          </cell>
          <cell r="J599" t="str">
            <v/>
          </cell>
        </row>
        <row r="600">
          <cell r="B600" t="str">
            <v>CT53040011</v>
          </cell>
          <cell r="C600" t="str">
            <v/>
          </cell>
          <cell r="D600" t="str">
            <v/>
          </cell>
          <cell r="E600" t="e">
            <v>#VALUE!</v>
          </cell>
          <cell r="F600" t="str">
            <v/>
          </cell>
          <cell r="G600" t="str">
            <v/>
          </cell>
          <cell r="H600" t="str">
            <v/>
          </cell>
          <cell r="I600" t="str">
            <v/>
          </cell>
          <cell r="J600" t="str">
            <v/>
          </cell>
        </row>
        <row r="601">
          <cell r="B601" t="str">
            <v>CT53040012</v>
          </cell>
          <cell r="C601" t="str">
            <v/>
          </cell>
          <cell r="D601" t="str">
            <v/>
          </cell>
          <cell r="E601" t="e">
            <v>#VALUE!</v>
          </cell>
          <cell r="F601" t="str">
            <v/>
          </cell>
          <cell r="G601" t="str">
            <v/>
          </cell>
          <cell r="H601" t="str">
            <v/>
          </cell>
          <cell r="I601" t="str">
            <v/>
          </cell>
          <cell r="J601" t="str">
            <v/>
          </cell>
        </row>
        <row r="602">
          <cell r="B602" t="str">
            <v>CT5303801</v>
          </cell>
          <cell r="C602">
            <v>18070</v>
          </cell>
          <cell r="D602">
            <v>1830</v>
          </cell>
          <cell r="E602">
            <v>19900</v>
          </cell>
          <cell r="F602">
            <v>9.1999999999999993</v>
          </cell>
          <cell r="G602">
            <v>19890</v>
          </cell>
          <cell r="H602">
            <v>18070</v>
          </cell>
          <cell r="I602">
            <v>1830</v>
          </cell>
          <cell r="J602">
            <v>9.1999999999999993</v>
          </cell>
        </row>
        <row r="603">
          <cell r="B603" t="str">
            <v>CT5303802</v>
          </cell>
          <cell r="C603">
            <v>17940</v>
          </cell>
          <cell r="D603">
            <v>1900</v>
          </cell>
          <cell r="E603">
            <v>19840</v>
          </cell>
          <cell r="F603">
            <v>9.6</v>
          </cell>
          <cell r="G603">
            <v>19870</v>
          </cell>
          <cell r="H603">
            <v>18000</v>
          </cell>
          <cell r="I603">
            <v>1860</v>
          </cell>
          <cell r="J603">
            <v>9.3707525799144218</v>
          </cell>
        </row>
        <row r="604">
          <cell r="B604" t="str">
            <v>CT5303803</v>
          </cell>
          <cell r="C604">
            <v>17970</v>
          </cell>
          <cell r="D604">
            <v>1950</v>
          </cell>
          <cell r="E604">
            <v>19920</v>
          </cell>
          <cell r="F604">
            <v>9.8000000000000007</v>
          </cell>
          <cell r="G604">
            <v>19880</v>
          </cell>
          <cell r="H604">
            <v>17990</v>
          </cell>
          <cell r="I604">
            <v>1890</v>
          </cell>
          <cell r="J604">
            <v>9.5153476052371282</v>
          </cell>
        </row>
        <row r="605">
          <cell r="B605" t="str">
            <v>CT5303804</v>
          </cell>
          <cell r="C605">
            <v>17940</v>
          </cell>
          <cell r="D605">
            <v>1720</v>
          </cell>
          <cell r="E605">
            <v>19660</v>
          </cell>
          <cell r="F605">
            <v>8.6999999999999993</v>
          </cell>
          <cell r="G605">
            <v>19830</v>
          </cell>
          <cell r="H605">
            <v>17980</v>
          </cell>
          <cell r="I605">
            <v>1850</v>
          </cell>
          <cell r="J605">
            <v>9.3234978879011408</v>
          </cell>
        </row>
        <row r="606">
          <cell r="B606" t="str">
            <v>CT5303805</v>
          </cell>
          <cell r="C606">
            <v>18120</v>
          </cell>
          <cell r="D606">
            <v>1770</v>
          </cell>
          <cell r="E606">
            <v>19890</v>
          </cell>
          <cell r="F606">
            <v>8.9</v>
          </cell>
          <cell r="G606">
            <v>19840</v>
          </cell>
          <cell r="H606">
            <v>18010</v>
          </cell>
          <cell r="I606">
            <v>1830</v>
          </cell>
          <cell r="J606">
            <v>9.2337006381627358</v>
          </cell>
        </row>
        <row r="607">
          <cell r="B607" t="str">
            <v>CT5303806</v>
          </cell>
          <cell r="C607">
            <v>17760</v>
          </cell>
          <cell r="D607">
            <v>1750</v>
          </cell>
          <cell r="E607">
            <v>19510</v>
          </cell>
          <cell r="F607">
            <v>9</v>
          </cell>
          <cell r="G607">
            <v>19780</v>
          </cell>
          <cell r="H607">
            <v>17970</v>
          </cell>
          <cell r="I607">
            <v>1820</v>
          </cell>
          <cell r="J607">
            <v>9.1908512699549298</v>
          </cell>
        </row>
        <row r="608">
          <cell r="B608" t="str">
            <v>CT5303807</v>
          </cell>
          <cell r="C608">
            <v>17490</v>
          </cell>
          <cell r="D608">
            <v>1690</v>
          </cell>
          <cell r="E608">
            <v>19180</v>
          </cell>
          <cell r="F608">
            <v>8.8000000000000007</v>
          </cell>
          <cell r="G608">
            <v>19700</v>
          </cell>
          <cell r="H608">
            <v>17900</v>
          </cell>
          <cell r="I608">
            <v>1800</v>
          </cell>
          <cell r="J608">
            <v>9.1366656029706128</v>
          </cell>
        </row>
        <row r="609">
          <cell r="B609" t="str">
            <v>CT5303808</v>
          </cell>
          <cell r="C609" t="str">
            <v/>
          </cell>
          <cell r="D609" t="str">
            <v/>
          </cell>
          <cell r="E609" t="e">
            <v>#VALUE!</v>
          </cell>
          <cell r="F609" t="str">
            <v/>
          </cell>
          <cell r="G609" t="str">
            <v/>
          </cell>
          <cell r="H609" t="str">
            <v/>
          </cell>
          <cell r="I609" t="str">
            <v/>
          </cell>
          <cell r="J609" t="str">
            <v/>
          </cell>
        </row>
        <row r="610">
          <cell r="B610" t="str">
            <v>CT5303809</v>
          </cell>
          <cell r="C610" t="str">
            <v/>
          </cell>
          <cell r="D610" t="str">
            <v/>
          </cell>
          <cell r="E610" t="e">
            <v>#VALUE!</v>
          </cell>
          <cell r="F610" t="str">
            <v/>
          </cell>
          <cell r="G610" t="str">
            <v/>
          </cell>
          <cell r="H610" t="str">
            <v/>
          </cell>
          <cell r="I610" t="str">
            <v/>
          </cell>
          <cell r="J610" t="str">
            <v/>
          </cell>
        </row>
        <row r="611">
          <cell r="B611" t="str">
            <v>CT53038010</v>
          </cell>
          <cell r="C611" t="str">
            <v/>
          </cell>
          <cell r="D611" t="str">
            <v/>
          </cell>
          <cell r="E611" t="e">
            <v>#VALUE!</v>
          </cell>
          <cell r="F611" t="str">
            <v/>
          </cell>
          <cell r="G611" t="str">
            <v/>
          </cell>
          <cell r="H611" t="str">
            <v/>
          </cell>
          <cell r="I611" t="str">
            <v/>
          </cell>
          <cell r="J611" t="str">
            <v/>
          </cell>
        </row>
        <row r="612">
          <cell r="B612" t="str">
            <v>CT53038011</v>
          </cell>
          <cell r="C612" t="str">
            <v/>
          </cell>
          <cell r="D612" t="str">
            <v/>
          </cell>
          <cell r="E612" t="e">
            <v>#VALUE!</v>
          </cell>
          <cell r="F612" t="str">
            <v/>
          </cell>
          <cell r="G612" t="str">
            <v/>
          </cell>
          <cell r="H612" t="str">
            <v/>
          </cell>
          <cell r="I612" t="str">
            <v/>
          </cell>
          <cell r="J612" t="str">
            <v/>
          </cell>
        </row>
        <row r="613">
          <cell r="B613" t="str">
            <v>CT53038012</v>
          </cell>
          <cell r="C613" t="str">
            <v/>
          </cell>
          <cell r="D613" t="str">
            <v/>
          </cell>
          <cell r="E613" t="e">
            <v>#VALUE!</v>
          </cell>
          <cell r="F613" t="str">
            <v/>
          </cell>
          <cell r="G613" t="str">
            <v/>
          </cell>
          <cell r="H613" t="str">
            <v/>
          </cell>
          <cell r="I613" t="str">
            <v/>
          </cell>
          <cell r="J613" t="str">
            <v/>
          </cell>
        </row>
        <row r="614">
          <cell r="B614" t="str">
            <v>CT5303501</v>
          </cell>
          <cell r="C614">
            <v>33600</v>
          </cell>
          <cell r="D614">
            <v>3240</v>
          </cell>
          <cell r="E614">
            <v>36840</v>
          </cell>
          <cell r="F614">
            <v>8.8000000000000007</v>
          </cell>
          <cell r="G614">
            <v>36840</v>
          </cell>
          <cell r="H614">
            <v>33600</v>
          </cell>
          <cell r="I614">
            <v>3240</v>
          </cell>
          <cell r="J614">
            <v>8.8000000000000007</v>
          </cell>
        </row>
        <row r="615">
          <cell r="B615" t="str">
            <v>CT5303502</v>
          </cell>
          <cell r="C615">
            <v>33790</v>
          </cell>
          <cell r="D615">
            <v>3400</v>
          </cell>
          <cell r="E615">
            <v>37190</v>
          </cell>
          <cell r="F615">
            <v>9.1999999999999993</v>
          </cell>
          <cell r="G615">
            <v>37010</v>
          </cell>
          <cell r="H615">
            <v>33690</v>
          </cell>
          <cell r="I615">
            <v>3320</v>
          </cell>
          <cell r="J615">
            <v>8.967119660659769</v>
          </cell>
        </row>
        <row r="616">
          <cell r="B616" t="str">
            <v>CT5303503</v>
          </cell>
          <cell r="C616">
            <v>33660</v>
          </cell>
          <cell r="D616">
            <v>3260</v>
          </cell>
          <cell r="E616">
            <v>36920</v>
          </cell>
          <cell r="F616">
            <v>8.8000000000000007</v>
          </cell>
          <cell r="G616">
            <v>36980</v>
          </cell>
          <cell r="H616">
            <v>33680</v>
          </cell>
          <cell r="I616">
            <v>3300</v>
          </cell>
          <cell r="J616">
            <v>8.9219565393732374</v>
          </cell>
        </row>
        <row r="617">
          <cell r="B617" t="str">
            <v>CT5303504</v>
          </cell>
          <cell r="C617">
            <v>33330</v>
          </cell>
          <cell r="D617">
            <v>3050</v>
          </cell>
          <cell r="E617">
            <v>36380</v>
          </cell>
          <cell r="F617">
            <v>8.4</v>
          </cell>
          <cell r="G617">
            <v>36830</v>
          </cell>
          <cell r="H617">
            <v>33600</v>
          </cell>
          <cell r="I617">
            <v>3240</v>
          </cell>
          <cell r="J617">
            <v>8.7910297830749613</v>
          </cell>
        </row>
        <row r="618">
          <cell r="B618" t="str">
            <v>CT5303505</v>
          </cell>
          <cell r="C618">
            <v>33520</v>
          </cell>
          <cell r="D618">
            <v>2940</v>
          </cell>
          <cell r="E618">
            <v>36460</v>
          </cell>
          <cell r="F618">
            <v>8.1</v>
          </cell>
          <cell r="G618">
            <v>36760</v>
          </cell>
          <cell r="H618">
            <v>33580</v>
          </cell>
          <cell r="I618">
            <v>3180</v>
          </cell>
          <cell r="J618">
            <v>8.6441046846944882</v>
          </cell>
        </row>
        <row r="619">
          <cell r="B619" t="str">
            <v>CT5303506</v>
          </cell>
          <cell r="C619">
            <v>33500</v>
          </cell>
          <cell r="D619">
            <v>3330</v>
          </cell>
          <cell r="E619">
            <v>36830</v>
          </cell>
          <cell r="F619">
            <v>9</v>
          </cell>
          <cell r="G619">
            <v>36770</v>
          </cell>
          <cell r="H619">
            <v>33570</v>
          </cell>
          <cell r="I619">
            <v>3200</v>
          </cell>
          <cell r="J619">
            <v>8.7113983836387607</v>
          </cell>
        </row>
        <row r="620">
          <cell r="B620" t="str">
            <v>CT5303507</v>
          </cell>
          <cell r="C620">
            <v>33470</v>
          </cell>
          <cell r="D620">
            <v>3220</v>
          </cell>
          <cell r="E620">
            <v>36690</v>
          </cell>
          <cell r="F620">
            <v>8.8000000000000007</v>
          </cell>
          <cell r="G620">
            <v>36760</v>
          </cell>
          <cell r="H620">
            <v>33550</v>
          </cell>
          <cell r="I620">
            <v>3210</v>
          </cell>
          <cell r="J620">
            <v>8.7209641251248495</v>
          </cell>
        </row>
        <row r="621">
          <cell r="B621" t="str">
            <v>CT5303508</v>
          </cell>
          <cell r="C621" t="str">
            <v/>
          </cell>
          <cell r="D621" t="str">
            <v/>
          </cell>
          <cell r="E621" t="e">
            <v>#VALUE!</v>
          </cell>
          <cell r="F621" t="str">
            <v/>
          </cell>
          <cell r="G621" t="str">
            <v/>
          </cell>
          <cell r="H621" t="str">
            <v/>
          </cell>
          <cell r="I621" t="str">
            <v/>
          </cell>
          <cell r="J621" t="str">
            <v/>
          </cell>
        </row>
        <row r="622">
          <cell r="B622" t="str">
            <v>CT5303509</v>
          </cell>
          <cell r="C622" t="str">
            <v/>
          </cell>
          <cell r="D622" t="str">
            <v/>
          </cell>
          <cell r="E622" t="e">
            <v>#VALUE!</v>
          </cell>
          <cell r="F622" t="str">
            <v/>
          </cell>
          <cell r="G622" t="str">
            <v/>
          </cell>
          <cell r="H622" t="str">
            <v/>
          </cell>
          <cell r="I622" t="str">
            <v/>
          </cell>
          <cell r="J622" t="str">
            <v/>
          </cell>
        </row>
        <row r="623">
          <cell r="B623" t="str">
            <v>CT53035010</v>
          </cell>
          <cell r="C623" t="str">
            <v/>
          </cell>
          <cell r="D623" t="str">
            <v/>
          </cell>
          <cell r="E623" t="e">
            <v>#VALUE!</v>
          </cell>
          <cell r="F623" t="str">
            <v/>
          </cell>
          <cell r="G623" t="str">
            <v/>
          </cell>
          <cell r="H623" t="str">
            <v/>
          </cell>
          <cell r="I623" t="str">
            <v/>
          </cell>
          <cell r="J623" t="str">
            <v/>
          </cell>
        </row>
        <row r="624">
          <cell r="B624" t="str">
            <v>CT53035011</v>
          </cell>
          <cell r="C624" t="str">
            <v/>
          </cell>
          <cell r="D624" t="str">
            <v/>
          </cell>
          <cell r="E624" t="e">
            <v>#VALUE!</v>
          </cell>
          <cell r="F624" t="str">
            <v/>
          </cell>
          <cell r="G624" t="str">
            <v/>
          </cell>
          <cell r="H624" t="str">
            <v/>
          </cell>
          <cell r="I624" t="str">
            <v/>
          </cell>
          <cell r="J624" t="str">
            <v/>
          </cell>
        </row>
        <row r="625">
          <cell r="B625" t="str">
            <v>CT53035012</v>
          </cell>
          <cell r="C625" t="str">
            <v/>
          </cell>
          <cell r="D625" t="str">
            <v/>
          </cell>
          <cell r="E625" t="e">
            <v>#VALUE!</v>
          </cell>
          <cell r="F625" t="str">
            <v/>
          </cell>
          <cell r="G625" t="str">
            <v/>
          </cell>
          <cell r="H625" t="str">
            <v/>
          </cell>
          <cell r="I625" t="str">
            <v/>
          </cell>
          <cell r="J625" t="str">
            <v/>
          </cell>
        </row>
        <row r="626">
          <cell r="B626" t="str">
            <v>CT5303301</v>
          </cell>
          <cell r="C626">
            <v>13220</v>
          </cell>
          <cell r="D626">
            <v>830</v>
          </cell>
          <cell r="E626">
            <v>14050</v>
          </cell>
          <cell r="F626">
            <v>5.9</v>
          </cell>
          <cell r="G626">
            <v>14050</v>
          </cell>
          <cell r="H626">
            <v>13220</v>
          </cell>
          <cell r="I626">
            <v>830</v>
          </cell>
          <cell r="J626">
            <v>5.9</v>
          </cell>
        </row>
        <row r="627">
          <cell r="B627" t="str">
            <v>CT5303302</v>
          </cell>
          <cell r="C627">
            <v>13790</v>
          </cell>
          <cell r="D627">
            <v>900</v>
          </cell>
          <cell r="E627">
            <v>14690</v>
          </cell>
          <cell r="F627">
            <v>6.1</v>
          </cell>
          <cell r="G627">
            <v>14370</v>
          </cell>
          <cell r="H627">
            <v>13500</v>
          </cell>
          <cell r="I627">
            <v>860</v>
          </cell>
          <cell r="J627">
            <v>6.0139908815647516</v>
          </cell>
        </row>
        <row r="628">
          <cell r="B628" t="str">
            <v>CT5303303</v>
          </cell>
          <cell r="C628">
            <v>13980</v>
          </cell>
          <cell r="D628">
            <v>1000</v>
          </cell>
          <cell r="E628">
            <v>14980</v>
          </cell>
          <cell r="F628">
            <v>6.7</v>
          </cell>
          <cell r="G628">
            <v>14570</v>
          </cell>
          <cell r="H628">
            <v>13660</v>
          </cell>
          <cell r="I628">
            <v>910</v>
          </cell>
          <cell r="J628">
            <v>6.2475693729554136</v>
          </cell>
        </row>
        <row r="629">
          <cell r="B629" t="str">
            <v>CT5303304</v>
          </cell>
          <cell r="C629">
            <v>14070</v>
          </cell>
          <cell r="D629">
            <v>780</v>
          </cell>
          <cell r="E629">
            <v>14850</v>
          </cell>
          <cell r="F629">
            <v>5.2</v>
          </cell>
          <cell r="G629">
            <v>14640</v>
          </cell>
          <cell r="H629">
            <v>13760</v>
          </cell>
          <cell r="I629">
            <v>880</v>
          </cell>
          <cell r="J629">
            <v>5.9868173901164576</v>
          </cell>
        </row>
        <row r="630">
          <cell r="B630" t="str">
            <v>CT5303305</v>
          </cell>
          <cell r="C630">
            <v>14200</v>
          </cell>
          <cell r="D630">
            <v>900</v>
          </cell>
          <cell r="E630">
            <v>15100</v>
          </cell>
          <cell r="F630">
            <v>6</v>
          </cell>
          <cell r="G630">
            <v>14730</v>
          </cell>
          <cell r="H630">
            <v>13850</v>
          </cell>
          <cell r="I630">
            <v>880</v>
          </cell>
          <cell r="J630">
            <v>5.9800168336455704</v>
          </cell>
        </row>
        <row r="631">
          <cell r="B631" t="str">
            <v>CT5303306</v>
          </cell>
          <cell r="C631">
            <v>12250</v>
          </cell>
          <cell r="D631">
            <v>950</v>
          </cell>
          <cell r="E631">
            <v>13200</v>
          </cell>
          <cell r="F631">
            <v>7.2</v>
          </cell>
          <cell r="G631">
            <v>14480</v>
          </cell>
          <cell r="H631">
            <v>13580</v>
          </cell>
          <cell r="I631">
            <v>890</v>
          </cell>
          <cell r="J631">
            <v>6.1617103581666841</v>
          </cell>
        </row>
        <row r="632">
          <cell r="B632" t="str">
            <v>CT5303307</v>
          </cell>
          <cell r="C632">
            <v>11800</v>
          </cell>
          <cell r="D632">
            <v>1020</v>
          </cell>
          <cell r="E632">
            <v>12820</v>
          </cell>
          <cell r="F632">
            <v>8</v>
          </cell>
          <cell r="G632">
            <v>14240</v>
          </cell>
          <cell r="H632">
            <v>13330</v>
          </cell>
          <cell r="I632">
            <v>910</v>
          </cell>
          <cell r="J632">
            <v>6.3956579752600895</v>
          </cell>
        </row>
        <row r="633">
          <cell r="B633" t="str">
            <v>CT5303308</v>
          </cell>
          <cell r="C633" t="str">
            <v/>
          </cell>
          <cell r="D633" t="str">
            <v/>
          </cell>
          <cell r="E633" t="e">
            <v>#VALUE!</v>
          </cell>
          <cell r="F633" t="str">
            <v/>
          </cell>
          <cell r="G633" t="str">
            <v/>
          </cell>
          <cell r="H633" t="str">
            <v/>
          </cell>
          <cell r="I633" t="str">
            <v/>
          </cell>
          <cell r="J633" t="str">
            <v/>
          </cell>
        </row>
        <row r="634">
          <cell r="B634" t="str">
            <v>CT5303309</v>
          </cell>
          <cell r="C634" t="str">
            <v/>
          </cell>
          <cell r="D634" t="str">
            <v/>
          </cell>
          <cell r="E634" t="e">
            <v>#VALUE!</v>
          </cell>
          <cell r="F634" t="str">
            <v/>
          </cell>
          <cell r="G634" t="str">
            <v/>
          </cell>
          <cell r="H634" t="str">
            <v/>
          </cell>
          <cell r="I634" t="str">
            <v/>
          </cell>
          <cell r="J634" t="str">
            <v/>
          </cell>
        </row>
        <row r="635">
          <cell r="B635" t="str">
            <v>CT53033010</v>
          </cell>
          <cell r="C635" t="str">
            <v/>
          </cell>
          <cell r="D635" t="str">
            <v/>
          </cell>
          <cell r="E635" t="e">
            <v>#VALUE!</v>
          </cell>
          <cell r="F635" t="str">
            <v/>
          </cell>
          <cell r="G635" t="str">
            <v/>
          </cell>
          <cell r="H635" t="str">
            <v/>
          </cell>
          <cell r="I635" t="str">
            <v/>
          </cell>
          <cell r="J635" t="str">
            <v/>
          </cell>
        </row>
        <row r="636">
          <cell r="B636" t="str">
            <v>CT53033011</v>
          </cell>
          <cell r="C636" t="str">
            <v/>
          </cell>
          <cell r="D636" t="str">
            <v/>
          </cell>
          <cell r="E636" t="e">
            <v>#VALUE!</v>
          </cell>
          <cell r="F636" t="str">
            <v/>
          </cell>
          <cell r="G636" t="str">
            <v/>
          </cell>
          <cell r="H636" t="str">
            <v/>
          </cell>
          <cell r="I636" t="str">
            <v/>
          </cell>
          <cell r="J636" t="str">
            <v/>
          </cell>
        </row>
        <row r="637">
          <cell r="B637" t="str">
            <v>CT53033012</v>
          </cell>
          <cell r="C637" t="str">
            <v/>
          </cell>
          <cell r="D637" t="str">
            <v/>
          </cell>
          <cell r="E637" t="e">
            <v>#VALUE!</v>
          </cell>
          <cell r="F637" t="str">
            <v/>
          </cell>
          <cell r="G637" t="str">
            <v/>
          </cell>
          <cell r="H637" t="str">
            <v/>
          </cell>
          <cell r="I637" t="str">
            <v/>
          </cell>
          <cell r="J637" t="str">
            <v/>
          </cell>
        </row>
        <row r="638">
          <cell r="B638" t="str">
            <v>CT5303201</v>
          </cell>
          <cell r="C638">
            <v>24820</v>
          </cell>
          <cell r="D638">
            <v>2780</v>
          </cell>
          <cell r="E638">
            <v>27600</v>
          </cell>
          <cell r="F638">
            <v>10.1</v>
          </cell>
          <cell r="G638">
            <v>27600</v>
          </cell>
          <cell r="H638">
            <v>24820</v>
          </cell>
          <cell r="I638">
            <v>2780</v>
          </cell>
          <cell r="J638">
            <v>10.1</v>
          </cell>
        </row>
        <row r="639">
          <cell r="B639" t="str">
            <v>CT5303202</v>
          </cell>
          <cell r="C639">
            <v>24910</v>
          </cell>
          <cell r="D639">
            <v>2590</v>
          </cell>
          <cell r="E639">
            <v>27500</v>
          </cell>
          <cell r="F639">
            <v>9.4</v>
          </cell>
          <cell r="G639">
            <v>27550</v>
          </cell>
          <cell r="H639">
            <v>24870</v>
          </cell>
          <cell r="I639">
            <v>2680</v>
          </cell>
          <cell r="J639">
            <v>9.7391872515744957</v>
          </cell>
        </row>
        <row r="640">
          <cell r="B640" t="str">
            <v>CT5303203</v>
          </cell>
          <cell r="C640">
            <v>25240</v>
          </cell>
          <cell r="D640">
            <v>2470</v>
          </cell>
          <cell r="E640">
            <v>27710</v>
          </cell>
          <cell r="F640">
            <v>8.9</v>
          </cell>
          <cell r="G640">
            <v>27600</v>
          </cell>
          <cell r="H640">
            <v>24990</v>
          </cell>
          <cell r="I640">
            <v>2610</v>
          </cell>
          <cell r="J640">
            <v>9.4669983336150896</v>
          </cell>
        </row>
        <row r="641">
          <cell r="B641" t="str">
            <v>CT5303204</v>
          </cell>
          <cell r="C641">
            <v>25320</v>
          </cell>
          <cell r="D641">
            <v>2210</v>
          </cell>
          <cell r="E641">
            <v>27530</v>
          </cell>
          <cell r="F641">
            <v>8</v>
          </cell>
          <cell r="G641">
            <v>27590</v>
          </cell>
          <cell r="H641">
            <v>25070</v>
          </cell>
          <cell r="I641">
            <v>2510</v>
          </cell>
          <cell r="J641">
            <v>9.1044208007830196</v>
          </cell>
        </row>
        <row r="642">
          <cell r="B642" t="str">
            <v>CT5303205</v>
          </cell>
          <cell r="C642">
            <v>25450</v>
          </cell>
          <cell r="D642">
            <v>2200</v>
          </cell>
          <cell r="E642">
            <v>27650</v>
          </cell>
          <cell r="F642">
            <v>8</v>
          </cell>
          <cell r="G642">
            <v>27600</v>
          </cell>
          <cell r="H642">
            <v>25150</v>
          </cell>
          <cell r="I642">
            <v>2450</v>
          </cell>
          <cell r="J642">
            <v>8.8758125412158595</v>
          </cell>
        </row>
        <row r="643">
          <cell r="B643" t="str">
            <v>CT5303206</v>
          </cell>
          <cell r="C643">
            <v>26380</v>
          </cell>
          <cell r="D643">
            <v>2170</v>
          </cell>
          <cell r="E643">
            <v>28550</v>
          </cell>
          <cell r="F643">
            <v>7.6</v>
          </cell>
          <cell r="G643">
            <v>27760</v>
          </cell>
          <cell r="H643">
            <v>25350</v>
          </cell>
          <cell r="I643">
            <v>2400</v>
          </cell>
          <cell r="J643">
            <v>8.6544292928383122</v>
          </cell>
        </row>
        <row r="644">
          <cell r="B644" t="str">
            <v>CT5303207</v>
          </cell>
          <cell r="C644">
            <v>25810</v>
          </cell>
          <cell r="D644">
            <v>2200</v>
          </cell>
          <cell r="E644">
            <v>28010</v>
          </cell>
          <cell r="F644">
            <v>7.9</v>
          </cell>
          <cell r="G644">
            <v>27790</v>
          </cell>
          <cell r="H644">
            <v>25420</v>
          </cell>
          <cell r="I644">
            <v>2370</v>
          </cell>
          <cell r="J644">
            <v>8.5395753342276919</v>
          </cell>
        </row>
        <row r="645">
          <cell r="B645" t="str">
            <v>CT5303208</v>
          </cell>
          <cell r="C645" t="str">
            <v/>
          </cell>
          <cell r="D645" t="str">
            <v/>
          </cell>
          <cell r="E645" t="e">
            <v>#VALUE!</v>
          </cell>
          <cell r="F645" t="str">
            <v/>
          </cell>
          <cell r="G645" t="str">
            <v/>
          </cell>
          <cell r="H645" t="str">
            <v/>
          </cell>
          <cell r="I645" t="str">
            <v/>
          </cell>
          <cell r="J645" t="str">
            <v/>
          </cell>
        </row>
        <row r="646">
          <cell r="B646" t="str">
            <v>CT5303209</v>
          </cell>
          <cell r="C646" t="str">
            <v/>
          </cell>
          <cell r="D646" t="str">
            <v/>
          </cell>
          <cell r="E646" t="e">
            <v>#VALUE!</v>
          </cell>
          <cell r="F646" t="str">
            <v/>
          </cell>
          <cell r="G646" t="str">
            <v/>
          </cell>
          <cell r="H646" t="str">
            <v/>
          </cell>
          <cell r="I646" t="str">
            <v/>
          </cell>
          <cell r="J646" t="str">
            <v/>
          </cell>
        </row>
        <row r="647">
          <cell r="B647" t="str">
            <v>CT53032010</v>
          </cell>
          <cell r="C647" t="str">
            <v/>
          </cell>
          <cell r="D647" t="str">
            <v/>
          </cell>
          <cell r="E647" t="e">
            <v>#VALUE!</v>
          </cell>
          <cell r="F647" t="str">
            <v/>
          </cell>
          <cell r="G647" t="str">
            <v/>
          </cell>
          <cell r="H647" t="str">
            <v/>
          </cell>
          <cell r="I647" t="str">
            <v/>
          </cell>
          <cell r="J647" t="str">
            <v/>
          </cell>
        </row>
        <row r="648">
          <cell r="B648" t="str">
            <v>CT53032011</v>
          </cell>
          <cell r="C648" t="str">
            <v/>
          </cell>
          <cell r="D648" t="str">
            <v/>
          </cell>
          <cell r="E648" t="e">
            <v>#VALUE!</v>
          </cell>
          <cell r="F648" t="str">
            <v/>
          </cell>
          <cell r="G648" t="str">
            <v/>
          </cell>
          <cell r="H648" t="str">
            <v/>
          </cell>
          <cell r="I648" t="str">
            <v/>
          </cell>
          <cell r="J648" t="str">
            <v/>
          </cell>
        </row>
        <row r="649">
          <cell r="B649" t="str">
            <v>CT53032012</v>
          </cell>
          <cell r="C649" t="str">
            <v/>
          </cell>
          <cell r="D649" t="str">
            <v/>
          </cell>
          <cell r="E649" t="e">
            <v>#VALUE!</v>
          </cell>
          <cell r="F649" t="str">
            <v/>
          </cell>
          <cell r="G649" t="str">
            <v/>
          </cell>
          <cell r="H649" t="str">
            <v/>
          </cell>
          <cell r="I649" t="str">
            <v/>
          </cell>
          <cell r="J649" t="str">
            <v/>
          </cell>
        </row>
        <row r="650">
          <cell r="B650" t="str">
            <v>CT5303001</v>
          </cell>
          <cell r="C650">
            <v>23000</v>
          </cell>
          <cell r="D650">
            <v>1940</v>
          </cell>
          <cell r="E650">
            <v>24940</v>
          </cell>
          <cell r="F650">
            <v>7.8</v>
          </cell>
          <cell r="G650">
            <v>24950</v>
          </cell>
          <cell r="H650">
            <v>23000</v>
          </cell>
          <cell r="I650">
            <v>1940</v>
          </cell>
          <cell r="J650">
            <v>7.8</v>
          </cell>
        </row>
        <row r="651">
          <cell r="B651" t="str">
            <v>CT5303002</v>
          </cell>
          <cell r="C651">
            <v>23020</v>
          </cell>
          <cell r="D651">
            <v>1990</v>
          </cell>
          <cell r="E651">
            <v>25010</v>
          </cell>
          <cell r="F651">
            <v>8</v>
          </cell>
          <cell r="G651">
            <v>24980</v>
          </cell>
          <cell r="H651">
            <v>23010</v>
          </cell>
          <cell r="I651">
            <v>1970</v>
          </cell>
          <cell r="J651">
            <v>7.8761433918456403</v>
          </cell>
        </row>
        <row r="652">
          <cell r="B652" t="str">
            <v>CT5303003</v>
          </cell>
          <cell r="C652">
            <v>23280</v>
          </cell>
          <cell r="D652">
            <v>2060</v>
          </cell>
          <cell r="E652">
            <v>25340</v>
          </cell>
          <cell r="F652">
            <v>8.1</v>
          </cell>
          <cell r="G652">
            <v>25100</v>
          </cell>
          <cell r="H652">
            <v>23100</v>
          </cell>
          <cell r="I652">
            <v>2000</v>
          </cell>
          <cell r="J652">
            <v>7.9643549629472234</v>
          </cell>
        </row>
        <row r="653">
          <cell r="B653" t="str">
            <v>CT5303004</v>
          </cell>
          <cell r="C653">
            <v>23280</v>
          </cell>
          <cell r="D653">
            <v>1850</v>
          </cell>
          <cell r="E653">
            <v>25130</v>
          </cell>
          <cell r="F653">
            <v>7.4</v>
          </cell>
          <cell r="G653">
            <v>25110</v>
          </cell>
          <cell r="H653">
            <v>23140</v>
          </cell>
          <cell r="I653">
            <v>1960</v>
          </cell>
          <cell r="J653">
            <v>7.8109596407197559</v>
          </cell>
        </row>
        <row r="654">
          <cell r="B654" t="str">
            <v>CT5303005</v>
          </cell>
          <cell r="C654">
            <v>23260</v>
          </cell>
          <cell r="D654">
            <v>1910</v>
          </cell>
          <cell r="E654">
            <v>25170</v>
          </cell>
          <cell r="F654">
            <v>7.6</v>
          </cell>
          <cell r="G654">
            <v>25120</v>
          </cell>
          <cell r="H654">
            <v>23170</v>
          </cell>
          <cell r="I654">
            <v>1950</v>
          </cell>
          <cell r="J654">
            <v>7.768683217351148</v>
          </cell>
        </row>
        <row r="655">
          <cell r="B655" t="str">
            <v>CT5303006</v>
          </cell>
          <cell r="C655">
            <v>22690</v>
          </cell>
          <cell r="D655">
            <v>1960</v>
          </cell>
          <cell r="E655">
            <v>24650</v>
          </cell>
          <cell r="F655">
            <v>8</v>
          </cell>
          <cell r="G655">
            <v>25040</v>
          </cell>
          <cell r="H655">
            <v>23090</v>
          </cell>
          <cell r="I655">
            <v>1950</v>
          </cell>
          <cell r="J655">
            <v>7.8005404470002526</v>
          </cell>
        </row>
        <row r="656">
          <cell r="B656" t="str">
            <v>CT5303007</v>
          </cell>
          <cell r="C656">
            <v>22420</v>
          </cell>
          <cell r="D656">
            <v>1890</v>
          </cell>
          <cell r="E656">
            <v>24310</v>
          </cell>
          <cell r="F656">
            <v>7.8</v>
          </cell>
          <cell r="G656">
            <v>24940</v>
          </cell>
          <cell r="H656">
            <v>22990</v>
          </cell>
          <cell r="I656">
            <v>1940</v>
          </cell>
          <cell r="J656">
            <v>7.7978024999713567</v>
          </cell>
        </row>
        <row r="657">
          <cell r="B657" t="str">
            <v>CT5303008</v>
          </cell>
          <cell r="C657" t="str">
            <v/>
          </cell>
          <cell r="D657" t="str">
            <v/>
          </cell>
          <cell r="E657" t="e">
            <v>#VALUE!</v>
          </cell>
          <cell r="F657" t="str">
            <v/>
          </cell>
          <cell r="G657" t="str">
            <v/>
          </cell>
          <cell r="H657" t="str">
            <v/>
          </cell>
          <cell r="I657" t="str">
            <v/>
          </cell>
          <cell r="J657" t="str">
            <v/>
          </cell>
        </row>
        <row r="658">
          <cell r="B658" t="str">
            <v>CT5303009</v>
          </cell>
          <cell r="C658" t="str">
            <v/>
          </cell>
          <cell r="D658" t="str">
            <v/>
          </cell>
          <cell r="E658" t="e">
            <v>#VALUE!</v>
          </cell>
          <cell r="F658" t="str">
            <v/>
          </cell>
          <cell r="G658" t="str">
            <v/>
          </cell>
          <cell r="H658" t="str">
            <v/>
          </cell>
          <cell r="I658" t="str">
            <v/>
          </cell>
          <cell r="J658" t="str">
            <v/>
          </cell>
        </row>
        <row r="659">
          <cell r="B659" t="str">
            <v>CT53030010</v>
          </cell>
          <cell r="C659" t="str">
            <v/>
          </cell>
          <cell r="D659" t="str">
            <v/>
          </cell>
          <cell r="E659" t="e">
            <v>#VALUE!</v>
          </cell>
          <cell r="F659" t="str">
            <v/>
          </cell>
          <cell r="G659" t="str">
            <v/>
          </cell>
          <cell r="H659" t="str">
            <v/>
          </cell>
          <cell r="I659" t="str">
            <v/>
          </cell>
          <cell r="J659" t="str">
            <v/>
          </cell>
        </row>
        <row r="660">
          <cell r="B660" t="str">
            <v>CT53030011</v>
          </cell>
          <cell r="C660" t="str">
            <v/>
          </cell>
          <cell r="D660" t="str">
            <v/>
          </cell>
          <cell r="E660" t="e">
            <v>#VALUE!</v>
          </cell>
          <cell r="F660" t="str">
            <v/>
          </cell>
          <cell r="G660" t="str">
            <v/>
          </cell>
          <cell r="H660" t="str">
            <v/>
          </cell>
          <cell r="I660" t="str">
            <v/>
          </cell>
          <cell r="J660" t="str">
            <v/>
          </cell>
        </row>
        <row r="661">
          <cell r="B661" t="str">
            <v>CT53030012</v>
          </cell>
          <cell r="C661" t="str">
            <v/>
          </cell>
          <cell r="D661" t="str">
            <v/>
          </cell>
          <cell r="E661" t="e">
            <v>#VALUE!</v>
          </cell>
          <cell r="F661" t="str">
            <v/>
          </cell>
          <cell r="G661" t="str">
            <v/>
          </cell>
          <cell r="H661" t="str">
            <v/>
          </cell>
          <cell r="I661" t="str">
            <v/>
          </cell>
          <cell r="J661" t="str">
            <v/>
          </cell>
        </row>
        <row r="662">
          <cell r="B662" t="str">
            <v>CT5302901</v>
          </cell>
          <cell r="C662">
            <v>29090</v>
          </cell>
          <cell r="D662">
            <v>2340</v>
          </cell>
          <cell r="E662">
            <v>31430</v>
          </cell>
          <cell r="F662">
            <v>7.4</v>
          </cell>
          <cell r="G662">
            <v>31440</v>
          </cell>
          <cell r="H662">
            <v>29090</v>
          </cell>
          <cell r="I662">
            <v>2340</v>
          </cell>
          <cell r="J662">
            <v>7.4</v>
          </cell>
        </row>
        <row r="663">
          <cell r="B663" t="str">
            <v>CT5302902</v>
          </cell>
          <cell r="C663">
            <v>29260</v>
          </cell>
          <cell r="D663">
            <v>2350</v>
          </cell>
          <cell r="E663">
            <v>31610</v>
          </cell>
          <cell r="F663">
            <v>7.4</v>
          </cell>
          <cell r="G663">
            <v>31520</v>
          </cell>
          <cell r="H663">
            <v>29180</v>
          </cell>
          <cell r="I663">
            <v>2350</v>
          </cell>
          <cell r="J663">
            <v>7.444007359939091</v>
          </cell>
        </row>
        <row r="664">
          <cell r="B664" t="str">
            <v>CT5302903</v>
          </cell>
          <cell r="C664">
            <v>29150</v>
          </cell>
          <cell r="D664">
            <v>2310</v>
          </cell>
          <cell r="E664">
            <v>31460</v>
          </cell>
          <cell r="F664">
            <v>7.4</v>
          </cell>
          <cell r="G664">
            <v>31500</v>
          </cell>
          <cell r="H664">
            <v>29170</v>
          </cell>
          <cell r="I664">
            <v>2340</v>
          </cell>
          <cell r="J664">
            <v>7.4132859289357294</v>
          </cell>
        </row>
        <row r="665">
          <cell r="B665" t="str">
            <v>CT5302904</v>
          </cell>
          <cell r="C665">
            <v>28860</v>
          </cell>
          <cell r="D665">
            <v>2100</v>
          </cell>
          <cell r="E665">
            <v>30960</v>
          </cell>
          <cell r="F665">
            <v>6.8</v>
          </cell>
          <cell r="G665">
            <v>31370</v>
          </cell>
          <cell r="H665">
            <v>29090</v>
          </cell>
          <cell r="I665">
            <v>2280</v>
          </cell>
          <cell r="J665">
            <v>7.257119628894575</v>
          </cell>
        </row>
        <row r="666">
          <cell r="B666" t="str">
            <v>CT5302905</v>
          </cell>
          <cell r="C666">
            <v>29030</v>
          </cell>
          <cell r="D666">
            <v>2160</v>
          </cell>
          <cell r="E666">
            <v>31190</v>
          </cell>
          <cell r="F666">
            <v>6.9</v>
          </cell>
          <cell r="G666">
            <v>31330</v>
          </cell>
          <cell r="H666">
            <v>29080</v>
          </cell>
          <cell r="I666">
            <v>2250</v>
          </cell>
          <cell r="J666">
            <v>7.1888206529371956</v>
          </cell>
        </row>
        <row r="667">
          <cell r="B667" t="str">
            <v>CT5302906</v>
          </cell>
          <cell r="C667">
            <v>29010</v>
          </cell>
          <cell r="D667">
            <v>2600</v>
          </cell>
          <cell r="E667">
            <v>31610</v>
          </cell>
          <cell r="F667">
            <v>8.1999999999999993</v>
          </cell>
          <cell r="G667">
            <v>31380</v>
          </cell>
          <cell r="H667">
            <v>29070</v>
          </cell>
          <cell r="I667">
            <v>2310</v>
          </cell>
          <cell r="J667">
            <v>7.3650102254920196</v>
          </cell>
        </row>
        <row r="668">
          <cell r="B668" t="str">
            <v>CT5302907</v>
          </cell>
          <cell r="C668">
            <v>28980</v>
          </cell>
          <cell r="D668">
            <v>2470</v>
          </cell>
          <cell r="E668">
            <v>31450</v>
          </cell>
          <cell r="F668">
            <v>7.8</v>
          </cell>
          <cell r="G668">
            <v>31390</v>
          </cell>
          <cell r="H668">
            <v>29050</v>
          </cell>
          <cell r="I668">
            <v>2330</v>
          </cell>
          <cell r="J668">
            <v>7.433216660673728</v>
          </cell>
        </row>
        <row r="669">
          <cell r="B669" t="str">
            <v>CT5302908</v>
          </cell>
          <cell r="C669" t="str">
            <v/>
          </cell>
          <cell r="D669" t="str">
            <v/>
          </cell>
          <cell r="E669" t="e">
            <v>#VALUE!</v>
          </cell>
          <cell r="F669" t="str">
            <v/>
          </cell>
          <cell r="G669" t="str">
            <v/>
          </cell>
          <cell r="H669" t="str">
            <v/>
          </cell>
          <cell r="I669" t="str">
            <v/>
          </cell>
          <cell r="J669" t="str">
            <v/>
          </cell>
        </row>
        <row r="670">
          <cell r="B670" t="str">
            <v>CT5302909</v>
          </cell>
          <cell r="C670" t="str">
            <v/>
          </cell>
          <cell r="D670" t="str">
            <v/>
          </cell>
          <cell r="E670" t="e">
            <v>#VALUE!</v>
          </cell>
          <cell r="F670" t="str">
            <v/>
          </cell>
          <cell r="G670" t="str">
            <v/>
          </cell>
          <cell r="H670" t="str">
            <v/>
          </cell>
          <cell r="I670" t="str">
            <v/>
          </cell>
          <cell r="J670" t="str">
            <v/>
          </cell>
        </row>
        <row r="671">
          <cell r="B671" t="str">
            <v>CT53029010</v>
          </cell>
          <cell r="C671" t="str">
            <v/>
          </cell>
          <cell r="D671" t="str">
            <v/>
          </cell>
          <cell r="E671" t="e">
            <v>#VALUE!</v>
          </cell>
          <cell r="F671" t="str">
            <v/>
          </cell>
          <cell r="G671" t="str">
            <v/>
          </cell>
          <cell r="H671" t="str">
            <v/>
          </cell>
          <cell r="I671" t="str">
            <v/>
          </cell>
          <cell r="J671" t="str">
            <v/>
          </cell>
        </row>
        <row r="672">
          <cell r="B672" t="str">
            <v>CT53029011</v>
          </cell>
          <cell r="C672" t="str">
            <v/>
          </cell>
          <cell r="D672" t="str">
            <v/>
          </cell>
          <cell r="E672" t="e">
            <v>#VALUE!</v>
          </cell>
          <cell r="F672" t="str">
            <v/>
          </cell>
          <cell r="G672" t="str">
            <v/>
          </cell>
          <cell r="H672" t="str">
            <v/>
          </cell>
          <cell r="I672" t="str">
            <v/>
          </cell>
          <cell r="J672" t="str">
            <v/>
          </cell>
        </row>
        <row r="673">
          <cell r="B673" t="str">
            <v>CT53029012</v>
          </cell>
          <cell r="C673" t="str">
            <v/>
          </cell>
          <cell r="D673" t="str">
            <v/>
          </cell>
          <cell r="E673" t="e">
            <v>#VALUE!</v>
          </cell>
          <cell r="F673" t="str">
            <v/>
          </cell>
          <cell r="G673" t="str">
            <v/>
          </cell>
          <cell r="H673" t="str">
            <v/>
          </cell>
          <cell r="I673" t="str">
            <v/>
          </cell>
          <cell r="J673" t="str">
            <v/>
          </cell>
        </row>
        <row r="674">
          <cell r="B674" t="str">
            <v>CT5302801</v>
          </cell>
          <cell r="C674">
            <v>42690</v>
          </cell>
          <cell r="D674">
            <v>4640</v>
          </cell>
          <cell r="E674">
            <v>47330</v>
          </cell>
          <cell r="F674">
            <v>9.8000000000000007</v>
          </cell>
          <cell r="G674">
            <v>47340</v>
          </cell>
          <cell r="H674">
            <v>42690</v>
          </cell>
          <cell r="I674">
            <v>4640</v>
          </cell>
          <cell r="J674">
            <v>9.8000000000000007</v>
          </cell>
        </row>
        <row r="675">
          <cell r="B675" t="str">
            <v>CT5302802</v>
          </cell>
          <cell r="C675">
            <v>42930</v>
          </cell>
          <cell r="D675">
            <v>4670</v>
          </cell>
          <cell r="E675">
            <v>47600</v>
          </cell>
          <cell r="F675">
            <v>9.8000000000000007</v>
          </cell>
          <cell r="G675">
            <v>47470</v>
          </cell>
          <cell r="H675">
            <v>42810</v>
          </cell>
          <cell r="I675">
            <v>4660</v>
          </cell>
          <cell r="J675">
            <v>9.8143096384146276</v>
          </cell>
        </row>
        <row r="676">
          <cell r="B676" t="str">
            <v>CT5302803</v>
          </cell>
          <cell r="C676">
            <v>42780</v>
          </cell>
          <cell r="D676">
            <v>4570</v>
          </cell>
          <cell r="E676">
            <v>47350</v>
          </cell>
          <cell r="F676">
            <v>9.6999999999999993</v>
          </cell>
          <cell r="G676">
            <v>47430</v>
          </cell>
          <cell r="H676">
            <v>42800</v>
          </cell>
          <cell r="I676">
            <v>4630</v>
          </cell>
          <cell r="J676">
            <v>9.7617541640312044</v>
          </cell>
        </row>
        <row r="677">
          <cell r="B677" t="str">
            <v>CT5302804</v>
          </cell>
          <cell r="C677">
            <v>42350</v>
          </cell>
          <cell r="D677">
            <v>4410</v>
          </cell>
          <cell r="E677">
            <v>46760</v>
          </cell>
          <cell r="F677">
            <v>9.4</v>
          </cell>
          <cell r="G677">
            <v>47260</v>
          </cell>
          <cell r="H677">
            <v>42690</v>
          </cell>
          <cell r="I677">
            <v>4580</v>
          </cell>
          <cell r="J677">
            <v>9.68055900851102</v>
          </cell>
        </row>
        <row r="678">
          <cell r="B678" t="str">
            <v>CT5302805</v>
          </cell>
          <cell r="C678">
            <v>42600</v>
          </cell>
          <cell r="D678">
            <v>4420</v>
          </cell>
          <cell r="E678">
            <v>47020</v>
          </cell>
          <cell r="F678">
            <v>9.4</v>
          </cell>
          <cell r="G678">
            <v>47210</v>
          </cell>
          <cell r="H678">
            <v>42670</v>
          </cell>
          <cell r="I678">
            <v>4540</v>
          </cell>
          <cell r="J678">
            <v>9.6245493787675329</v>
          </cell>
        </row>
        <row r="679">
          <cell r="B679" t="str">
            <v>CT5302806</v>
          </cell>
          <cell r="C679">
            <v>42560</v>
          </cell>
          <cell r="D679">
            <v>4700</v>
          </cell>
          <cell r="E679">
            <v>47260</v>
          </cell>
          <cell r="F679">
            <v>9.9</v>
          </cell>
          <cell r="G679">
            <v>47220</v>
          </cell>
          <cell r="H679">
            <v>42650</v>
          </cell>
          <cell r="I679">
            <v>4570</v>
          </cell>
          <cell r="J679">
            <v>9.6763035567430595</v>
          </cell>
        </row>
        <row r="680">
          <cell r="B680" t="str">
            <v>CT5302807</v>
          </cell>
          <cell r="C680">
            <v>42530</v>
          </cell>
          <cell r="D680">
            <v>4700</v>
          </cell>
          <cell r="E680">
            <v>47230</v>
          </cell>
          <cell r="F680">
            <v>10</v>
          </cell>
          <cell r="G680">
            <v>47220</v>
          </cell>
          <cell r="H680">
            <v>42630</v>
          </cell>
          <cell r="I680">
            <v>4590</v>
          </cell>
          <cell r="J680">
            <v>9.7158692127108601</v>
          </cell>
        </row>
        <row r="681">
          <cell r="B681" t="str">
            <v>CT5302808</v>
          </cell>
          <cell r="C681" t="str">
            <v/>
          </cell>
          <cell r="D681" t="str">
            <v/>
          </cell>
          <cell r="E681" t="e">
            <v>#VALUE!</v>
          </cell>
          <cell r="F681" t="str">
            <v/>
          </cell>
          <cell r="G681" t="str">
            <v/>
          </cell>
          <cell r="H681" t="str">
            <v/>
          </cell>
          <cell r="I681" t="str">
            <v/>
          </cell>
          <cell r="J681" t="str">
            <v/>
          </cell>
        </row>
        <row r="682">
          <cell r="B682" t="str">
            <v>CT5302809</v>
          </cell>
          <cell r="C682" t="str">
            <v/>
          </cell>
          <cell r="D682" t="str">
            <v/>
          </cell>
          <cell r="E682" t="e">
            <v>#VALUE!</v>
          </cell>
          <cell r="F682" t="str">
            <v/>
          </cell>
          <cell r="G682" t="str">
            <v/>
          </cell>
          <cell r="H682" t="str">
            <v/>
          </cell>
          <cell r="I682" t="str">
            <v/>
          </cell>
          <cell r="J682" t="str">
            <v/>
          </cell>
        </row>
        <row r="683">
          <cell r="B683" t="str">
            <v>CT53028010</v>
          </cell>
          <cell r="C683" t="str">
            <v/>
          </cell>
          <cell r="D683" t="str">
            <v/>
          </cell>
          <cell r="E683" t="e">
            <v>#VALUE!</v>
          </cell>
          <cell r="F683" t="str">
            <v/>
          </cell>
          <cell r="G683" t="str">
            <v/>
          </cell>
          <cell r="H683" t="str">
            <v/>
          </cell>
          <cell r="I683" t="str">
            <v/>
          </cell>
          <cell r="J683" t="str">
            <v/>
          </cell>
        </row>
        <row r="684">
          <cell r="B684" t="str">
            <v>CT53028011</v>
          </cell>
          <cell r="C684" t="str">
            <v/>
          </cell>
          <cell r="D684" t="str">
            <v/>
          </cell>
          <cell r="E684" t="e">
            <v>#VALUE!</v>
          </cell>
          <cell r="F684" t="str">
            <v/>
          </cell>
          <cell r="G684" t="str">
            <v/>
          </cell>
          <cell r="H684" t="str">
            <v/>
          </cell>
          <cell r="I684" t="str">
            <v/>
          </cell>
          <cell r="J684" t="str">
            <v/>
          </cell>
        </row>
        <row r="685">
          <cell r="B685" t="str">
            <v>CT53028012</v>
          </cell>
          <cell r="C685" t="str">
            <v/>
          </cell>
          <cell r="D685" t="str">
            <v/>
          </cell>
          <cell r="E685" t="e">
            <v>#VALUE!</v>
          </cell>
          <cell r="F685" t="str">
            <v/>
          </cell>
          <cell r="G685" t="str">
            <v/>
          </cell>
          <cell r="H685" t="str">
            <v/>
          </cell>
          <cell r="I685" t="str">
            <v/>
          </cell>
          <cell r="J685" t="str">
            <v/>
          </cell>
        </row>
        <row r="686">
          <cell r="B686" t="str">
            <v>CT5302701</v>
          </cell>
          <cell r="C686">
            <v>35330</v>
          </cell>
          <cell r="D686">
            <v>2810</v>
          </cell>
          <cell r="E686">
            <v>38140</v>
          </cell>
          <cell r="F686">
            <v>7.4</v>
          </cell>
          <cell r="G686">
            <v>38140</v>
          </cell>
          <cell r="H686">
            <v>35330</v>
          </cell>
          <cell r="I686">
            <v>2810</v>
          </cell>
          <cell r="J686">
            <v>7.4</v>
          </cell>
        </row>
        <row r="687">
          <cell r="B687" t="str">
            <v>CT5302702</v>
          </cell>
          <cell r="C687">
            <v>35460</v>
          </cell>
          <cell r="D687">
            <v>2840</v>
          </cell>
          <cell r="E687">
            <v>38300</v>
          </cell>
          <cell r="F687">
            <v>7.4</v>
          </cell>
          <cell r="G687">
            <v>38220</v>
          </cell>
          <cell r="H687">
            <v>35390</v>
          </cell>
          <cell r="I687">
            <v>2820</v>
          </cell>
          <cell r="J687">
            <v>7.3895750471006911</v>
          </cell>
        </row>
        <row r="688">
          <cell r="B688" t="str">
            <v>CT5302703</v>
          </cell>
          <cell r="C688">
            <v>35930</v>
          </cell>
          <cell r="D688">
            <v>2910</v>
          </cell>
          <cell r="E688">
            <v>38840</v>
          </cell>
          <cell r="F688">
            <v>7.5</v>
          </cell>
          <cell r="G688">
            <v>38420</v>
          </cell>
          <cell r="H688">
            <v>35570</v>
          </cell>
          <cell r="I688">
            <v>2850</v>
          </cell>
          <cell r="J688">
            <v>7.4210311711070815</v>
          </cell>
        </row>
        <row r="689">
          <cell r="B689" t="str">
            <v>CT5302704</v>
          </cell>
          <cell r="C689">
            <v>36040</v>
          </cell>
          <cell r="D689">
            <v>2540</v>
          </cell>
          <cell r="E689">
            <v>38580</v>
          </cell>
          <cell r="F689">
            <v>6.6</v>
          </cell>
          <cell r="G689">
            <v>38460</v>
          </cell>
          <cell r="H689">
            <v>35690</v>
          </cell>
          <cell r="I689">
            <v>2770</v>
          </cell>
          <cell r="J689">
            <v>7.2097134834381986</v>
          </cell>
        </row>
        <row r="690">
          <cell r="B690" t="str">
            <v>CT5302705</v>
          </cell>
          <cell r="C690">
            <v>36220</v>
          </cell>
          <cell r="D690">
            <v>2650</v>
          </cell>
          <cell r="E690">
            <v>38870</v>
          </cell>
          <cell r="F690">
            <v>6.8</v>
          </cell>
          <cell r="G690">
            <v>38540</v>
          </cell>
          <cell r="H690">
            <v>35800</v>
          </cell>
          <cell r="I690">
            <v>2750</v>
          </cell>
          <cell r="J690">
            <v>7.1324796081442878</v>
          </cell>
        </row>
        <row r="691">
          <cell r="B691" t="str">
            <v>CT5302706</v>
          </cell>
          <cell r="C691">
            <v>37550</v>
          </cell>
          <cell r="D691">
            <v>2770</v>
          </cell>
          <cell r="E691">
            <v>40320</v>
          </cell>
          <cell r="F691">
            <v>6.9</v>
          </cell>
          <cell r="G691">
            <v>38840</v>
          </cell>
          <cell r="H691">
            <v>36090</v>
          </cell>
          <cell r="I691">
            <v>2750</v>
          </cell>
          <cell r="J691">
            <v>7.0886988461554976</v>
          </cell>
        </row>
        <row r="692">
          <cell r="B692" t="str">
            <v>CT5302707</v>
          </cell>
          <cell r="C692">
            <v>36740</v>
          </cell>
          <cell r="D692">
            <v>2690</v>
          </cell>
          <cell r="E692">
            <v>39430</v>
          </cell>
          <cell r="F692">
            <v>6.8</v>
          </cell>
          <cell r="G692">
            <v>38930</v>
          </cell>
          <cell r="H692">
            <v>36180</v>
          </cell>
          <cell r="I692">
            <v>2740</v>
          </cell>
          <cell r="J692">
            <v>7.0511338405246606</v>
          </cell>
        </row>
        <row r="693">
          <cell r="B693" t="str">
            <v>CT5302708</v>
          </cell>
          <cell r="C693" t="str">
            <v/>
          </cell>
          <cell r="D693" t="str">
            <v/>
          </cell>
          <cell r="E693" t="e">
            <v>#VALUE!</v>
          </cell>
          <cell r="F693" t="str">
            <v/>
          </cell>
          <cell r="G693" t="str">
            <v/>
          </cell>
          <cell r="H693" t="str">
            <v/>
          </cell>
          <cell r="I693" t="str">
            <v/>
          </cell>
          <cell r="J693" t="str">
            <v/>
          </cell>
        </row>
        <row r="694">
          <cell r="B694" t="str">
            <v>CT5302709</v>
          </cell>
          <cell r="C694" t="str">
            <v/>
          </cell>
          <cell r="D694" t="str">
            <v/>
          </cell>
          <cell r="E694" t="e">
            <v>#VALUE!</v>
          </cell>
          <cell r="F694" t="str">
            <v/>
          </cell>
          <cell r="G694" t="str">
            <v/>
          </cell>
          <cell r="H694" t="str">
            <v/>
          </cell>
          <cell r="I694" t="str">
            <v/>
          </cell>
          <cell r="J694" t="str">
            <v/>
          </cell>
        </row>
        <row r="695">
          <cell r="B695" t="str">
            <v>CT53027010</v>
          </cell>
          <cell r="C695" t="str">
            <v/>
          </cell>
          <cell r="D695" t="str">
            <v/>
          </cell>
          <cell r="E695" t="e">
            <v>#VALUE!</v>
          </cell>
          <cell r="F695" t="str">
            <v/>
          </cell>
          <cell r="G695" t="str">
            <v/>
          </cell>
          <cell r="H695" t="str">
            <v/>
          </cell>
          <cell r="I695" t="str">
            <v/>
          </cell>
          <cell r="J695" t="str">
            <v/>
          </cell>
        </row>
        <row r="696">
          <cell r="B696" t="str">
            <v>CT53027011</v>
          </cell>
          <cell r="C696" t="str">
            <v/>
          </cell>
          <cell r="D696" t="str">
            <v/>
          </cell>
          <cell r="E696" t="e">
            <v>#VALUE!</v>
          </cell>
          <cell r="F696" t="str">
            <v/>
          </cell>
          <cell r="G696" t="str">
            <v/>
          </cell>
          <cell r="H696" t="str">
            <v/>
          </cell>
          <cell r="I696" t="str">
            <v/>
          </cell>
          <cell r="J696" t="str">
            <v/>
          </cell>
        </row>
        <row r="697">
          <cell r="B697" t="str">
            <v>CT53027012</v>
          </cell>
          <cell r="C697" t="str">
            <v/>
          </cell>
          <cell r="D697" t="str">
            <v/>
          </cell>
          <cell r="E697" t="e">
            <v>#VALUE!</v>
          </cell>
          <cell r="F697" t="str">
            <v/>
          </cell>
          <cell r="G697" t="str">
            <v/>
          </cell>
          <cell r="H697" t="str">
            <v/>
          </cell>
          <cell r="I697" t="str">
            <v/>
          </cell>
          <cell r="J697" t="str">
            <v/>
          </cell>
        </row>
        <row r="698">
          <cell r="B698" t="str">
            <v>CT5302501</v>
          </cell>
          <cell r="C698">
            <v>13320</v>
          </cell>
          <cell r="D698">
            <v>1830</v>
          </cell>
          <cell r="E698">
            <v>15150</v>
          </cell>
          <cell r="F698">
            <v>12.1</v>
          </cell>
          <cell r="G698">
            <v>15140</v>
          </cell>
          <cell r="H698">
            <v>13320</v>
          </cell>
          <cell r="I698">
            <v>1830</v>
          </cell>
          <cell r="J698">
            <v>12.1</v>
          </cell>
        </row>
        <row r="699">
          <cell r="B699" t="str">
            <v>CT5302502</v>
          </cell>
          <cell r="C699">
            <v>13270</v>
          </cell>
          <cell r="D699">
            <v>1910</v>
          </cell>
          <cell r="E699">
            <v>15180</v>
          </cell>
          <cell r="F699">
            <v>12.6</v>
          </cell>
          <cell r="G699">
            <v>15160</v>
          </cell>
          <cell r="H699">
            <v>13290</v>
          </cell>
          <cell r="I699">
            <v>1870</v>
          </cell>
          <cell r="J699">
            <v>12.327682870523054</v>
          </cell>
        </row>
        <row r="700">
          <cell r="B700" t="str">
            <v>CT5302503</v>
          </cell>
          <cell r="C700">
            <v>13440</v>
          </cell>
          <cell r="D700">
            <v>1900</v>
          </cell>
          <cell r="E700">
            <v>15340</v>
          </cell>
          <cell r="F700">
            <v>12.4</v>
          </cell>
          <cell r="G700">
            <v>15220</v>
          </cell>
          <cell r="H700">
            <v>13340</v>
          </cell>
          <cell r="I700">
            <v>1880</v>
          </cell>
          <cell r="J700">
            <v>12.348896285914506</v>
          </cell>
        </row>
        <row r="701">
          <cell r="B701" t="str">
            <v>CT5302504</v>
          </cell>
          <cell r="C701">
            <v>13320</v>
          </cell>
          <cell r="D701">
            <v>1790</v>
          </cell>
          <cell r="E701">
            <v>15110</v>
          </cell>
          <cell r="F701">
            <v>11.9</v>
          </cell>
          <cell r="G701">
            <v>15200</v>
          </cell>
          <cell r="H701">
            <v>13340</v>
          </cell>
          <cell r="I701">
            <v>1860</v>
          </cell>
          <cell r="J701">
            <v>12.226061204343534</v>
          </cell>
        </row>
        <row r="702">
          <cell r="B702" t="str">
            <v>CT5302505</v>
          </cell>
          <cell r="C702">
            <v>13500</v>
          </cell>
          <cell r="D702">
            <v>1810</v>
          </cell>
          <cell r="E702">
            <v>15310</v>
          </cell>
          <cell r="F702">
            <v>11.8</v>
          </cell>
          <cell r="G702">
            <v>15220</v>
          </cell>
          <cell r="H702">
            <v>13370</v>
          </cell>
          <cell r="I702">
            <v>1850</v>
          </cell>
          <cell r="J702">
            <v>12.139055004271539</v>
          </cell>
        </row>
        <row r="703">
          <cell r="B703" t="str">
            <v>CT5302506</v>
          </cell>
          <cell r="C703">
            <v>13150</v>
          </cell>
          <cell r="D703">
            <v>1790</v>
          </cell>
          <cell r="E703">
            <v>14940</v>
          </cell>
          <cell r="F703">
            <v>12</v>
          </cell>
          <cell r="G703">
            <v>15170</v>
          </cell>
          <cell r="H703">
            <v>13330</v>
          </cell>
          <cell r="I703">
            <v>1840</v>
          </cell>
          <cell r="J703">
            <v>12.112855557630823</v>
          </cell>
        </row>
        <row r="704">
          <cell r="B704" t="str">
            <v>CT5302507</v>
          </cell>
          <cell r="C704">
            <v>13150</v>
          </cell>
          <cell r="D704">
            <v>1680</v>
          </cell>
          <cell r="E704">
            <v>14830</v>
          </cell>
          <cell r="F704">
            <v>11.3</v>
          </cell>
          <cell r="G704">
            <v>15120</v>
          </cell>
          <cell r="H704">
            <v>13310</v>
          </cell>
          <cell r="I704">
            <v>1820</v>
          </cell>
          <cell r="J704">
            <v>12.003438731070446</v>
          </cell>
        </row>
        <row r="705">
          <cell r="B705" t="str">
            <v>CT5302508</v>
          </cell>
          <cell r="C705" t="str">
            <v/>
          </cell>
          <cell r="D705" t="str">
            <v/>
          </cell>
          <cell r="E705" t="e">
            <v>#VALUE!</v>
          </cell>
          <cell r="F705" t="str">
            <v/>
          </cell>
          <cell r="G705" t="str">
            <v/>
          </cell>
          <cell r="H705" t="str">
            <v/>
          </cell>
          <cell r="I705" t="str">
            <v/>
          </cell>
          <cell r="J705" t="str">
            <v/>
          </cell>
        </row>
        <row r="706">
          <cell r="B706" t="str">
            <v>CT5302509</v>
          </cell>
          <cell r="C706" t="str">
            <v/>
          </cell>
          <cell r="D706" t="str">
            <v/>
          </cell>
          <cell r="E706" t="e">
            <v>#VALUE!</v>
          </cell>
          <cell r="F706" t="str">
            <v/>
          </cell>
          <cell r="G706" t="str">
            <v/>
          </cell>
          <cell r="H706" t="str">
            <v/>
          </cell>
          <cell r="I706" t="str">
            <v/>
          </cell>
          <cell r="J706" t="str">
            <v/>
          </cell>
        </row>
        <row r="707">
          <cell r="B707" t="str">
            <v>CT53025010</v>
          </cell>
          <cell r="C707" t="str">
            <v/>
          </cell>
          <cell r="D707" t="str">
            <v/>
          </cell>
          <cell r="E707" t="e">
            <v>#VALUE!</v>
          </cell>
          <cell r="F707" t="str">
            <v/>
          </cell>
          <cell r="G707" t="str">
            <v/>
          </cell>
          <cell r="H707" t="str">
            <v/>
          </cell>
          <cell r="I707" t="str">
            <v/>
          </cell>
          <cell r="J707" t="str">
            <v/>
          </cell>
        </row>
        <row r="708">
          <cell r="B708" t="str">
            <v>CT53025011</v>
          </cell>
          <cell r="C708" t="str">
            <v/>
          </cell>
          <cell r="D708" t="str">
            <v/>
          </cell>
          <cell r="E708" t="e">
            <v>#VALUE!</v>
          </cell>
          <cell r="F708" t="str">
            <v/>
          </cell>
          <cell r="G708" t="str">
            <v/>
          </cell>
          <cell r="H708" t="str">
            <v/>
          </cell>
          <cell r="I708" t="str">
            <v/>
          </cell>
          <cell r="J708" t="str">
            <v/>
          </cell>
        </row>
        <row r="709">
          <cell r="B709" t="str">
            <v>CT53025012</v>
          </cell>
          <cell r="C709" t="str">
            <v/>
          </cell>
          <cell r="D709" t="str">
            <v/>
          </cell>
          <cell r="E709" t="e">
            <v>#VALUE!</v>
          </cell>
          <cell r="F709" t="str">
            <v/>
          </cell>
          <cell r="G709" t="str">
            <v/>
          </cell>
          <cell r="H709" t="str">
            <v/>
          </cell>
          <cell r="I709" t="str">
            <v/>
          </cell>
          <cell r="J709" t="str">
            <v/>
          </cell>
        </row>
        <row r="710">
          <cell r="B710" t="str">
            <v>CT5302301</v>
          </cell>
          <cell r="C710">
            <v>22710</v>
          </cell>
          <cell r="D710">
            <v>2650</v>
          </cell>
          <cell r="E710">
            <v>25360</v>
          </cell>
          <cell r="F710">
            <v>10.5</v>
          </cell>
          <cell r="G710">
            <v>25360</v>
          </cell>
          <cell r="H710">
            <v>22710</v>
          </cell>
          <cell r="I710">
            <v>2650</v>
          </cell>
          <cell r="J710">
            <v>10.5</v>
          </cell>
        </row>
        <row r="711">
          <cell r="B711" t="str">
            <v>CT5302302</v>
          </cell>
          <cell r="C711">
            <v>22550</v>
          </cell>
          <cell r="D711">
            <v>2560</v>
          </cell>
          <cell r="E711">
            <v>25110</v>
          </cell>
          <cell r="F711">
            <v>10.199999999999999</v>
          </cell>
          <cell r="G711">
            <v>25240</v>
          </cell>
          <cell r="H711">
            <v>22630</v>
          </cell>
          <cell r="I711">
            <v>2610</v>
          </cell>
          <cell r="J711">
            <v>10.324536376604851</v>
          </cell>
        </row>
        <row r="712">
          <cell r="B712" t="str">
            <v>CT5302303</v>
          </cell>
          <cell r="C712">
            <v>22590</v>
          </cell>
          <cell r="D712">
            <v>2620</v>
          </cell>
          <cell r="E712">
            <v>25210</v>
          </cell>
          <cell r="F712">
            <v>10.4</v>
          </cell>
          <cell r="G712">
            <v>25230</v>
          </cell>
          <cell r="H712">
            <v>22620</v>
          </cell>
          <cell r="I712">
            <v>2610</v>
          </cell>
          <cell r="J712">
            <v>10.350158562367865</v>
          </cell>
        </row>
        <row r="713">
          <cell r="B713" t="str">
            <v>CT5302304</v>
          </cell>
          <cell r="C713">
            <v>22550</v>
          </cell>
          <cell r="D713">
            <v>2400</v>
          </cell>
          <cell r="E713">
            <v>24950</v>
          </cell>
          <cell r="F713">
            <v>9.6</v>
          </cell>
          <cell r="G713">
            <v>25160</v>
          </cell>
          <cell r="H713">
            <v>22600</v>
          </cell>
          <cell r="I713">
            <v>2560</v>
          </cell>
          <cell r="J713">
            <v>10.172119092101601</v>
          </cell>
        </row>
        <row r="714">
          <cell r="B714" t="str">
            <v>CT5302305</v>
          </cell>
          <cell r="C714">
            <v>22780</v>
          </cell>
          <cell r="D714">
            <v>2440</v>
          </cell>
          <cell r="E714">
            <v>25220</v>
          </cell>
          <cell r="F714">
            <v>9.6999999999999993</v>
          </cell>
          <cell r="G714">
            <v>25170</v>
          </cell>
          <cell r="H714">
            <v>22630</v>
          </cell>
          <cell r="I714">
            <v>2540</v>
          </cell>
          <cell r="J714">
            <v>10.071833828647712</v>
          </cell>
        </row>
        <row r="715">
          <cell r="B715" t="str">
            <v>CT5302306</v>
          </cell>
          <cell r="C715">
            <v>22330</v>
          </cell>
          <cell r="D715">
            <v>2500</v>
          </cell>
          <cell r="E715">
            <v>24830</v>
          </cell>
          <cell r="F715">
            <v>10.1</v>
          </cell>
          <cell r="G715">
            <v>25110</v>
          </cell>
          <cell r="H715">
            <v>22580</v>
          </cell>
          <cell r="I715">
            <v>2530</v>
          </cell>
          <cell r="J715">
            <v>10.070218753318468</v>
          </cell>
        </row>
        <row r="716">
          <cell r="B716" t="str">
            <v>CT5302307</v>
          </cell>
          <cell r="C716">
            <v>21990</v>
          </cell>
          <cell r="D716">
            <v>2390</v>
          </cell>
          <cell r="E716">
            <v>24380</v>
          </cell>
          <cell r="F716">
            <v>9.8000000000000007</v>
          </cell>
          <cell r="G716">
            <v>25010</v>
          </cell>
          <cell r="H716">
            <v>22500</v>
          </cell>
          <cell r="I716">
            <v>2510</v>
          </cell>
          <cell r="J716">
            <v>10.031706132708731</v>
          </cell>
        </row>
        <row r="717">
          <cell r="B717" t="str">
            <v>CT5302308</v>
          </cell>
          <cell r="C717" t="str">
            <v/>
          </cell>
          <cell r="D717" t="str">
            <v/>
          </cell>
          <cell r="E717" t="e">
            <v>#VALUE!</v>
          </cell>
          <cell r="F717" t="str">
            <v/>
          </cell>
          <cell r="G717" t="str">
            <v/>
          </cell>
          <cell r="H717" t="str">
            <v/>
          </cell>
          <cell r="I717" t="str">
            <v/>
          </cell>
          <cell r="J717" t="str">
            <v/>
          </cell>
        </row>
        <row r="718">
          <cell r="B718" t="str">
            <v>CT5302309</v>
          </cell>
          <cell r="C718" t="str">
            <v/>
          </cell>
          <cell r="D718" t="str">
            <v/>
          </cell>
          <cell r="E718" t="e">
            <v>#VALUE!</v>
          </cell>
          <cell r="F718" t="str">
            <v/>
          </cell>
          <cell r="G718" t="str">
            <v/>
          </cell>
          <cell r="H718" t="str">
            <v/>
          </cell>
          <cell r="I718" t="str">
            <v/>
          </cell>
          <cell r="J718" t="str">
            <v/>
          </cell>
        </row>
        <row r="719">
          <cell r="B719" t="str">
            <v>CT53023010</v>
          </cell>
          <cell r="C719" t="str">
            <v/>
          </cell>
          <cell r="D719" t="str">
            <v/>
          </cell>
          <cell r="E719" t="e">
            <v>#VALUE!</v>
          </cell>
          <cell r="F719" t="str">
            <v/>
          </cell>
          <cell r="G719" t="str">
            <v/>
          </cell>
          <cell r="H719" t="str">
            <v/>
          </cell>
          <cell r="I719" t="str">
            <v/>
          </cell>
          <cell r="J719" t="str">
            <v/>
          </cell>
        </row>
        <row r="720">
          <cell r="B720" t="str">
            <v>CT53023011</v>
          </cell>
          <cell r="C720" t="str">
            <v/>
          </cell>
          <cell r="D720" t="str">
            <v/>
          </cell>
          <cell r="E720" t="e">
            <v>#VALUE!</v>
          </cell>
          <cell r="F720" t="str">
            <v/>
          </cell>
          <cell r="G720" t="str">
            <v/>
          </cell>
          <cell r="H720" t="str">
            <v/>
          </cell>
          <cell r="I720" t="str">
            <v/>
          </cell>
          <cell r="J720" t="str">
            <v/>
          </cell>
        </row>
        <row r="721">
          <cell r="B721" t="str">
            <v>CT53023012</v>
          </cell>
          <cell r="C721" t="str">
            <v/>
          </cell>
          <cell r="D721" t="str">
            <v/>
          </cell>
          <cell r="E721" t="e">
            <v>#VALUE!</v>
          </cell>
          <cell r="F721" t="str">
            <v/>
          </cell>
          <cell r="G721" t="str">
            <v/>
          </cell>
          <cell r="H721" t="str">
            <v/>
          </cell>
          <cell r="I721" t="str">
            <v/>
          </cell>
          <cell r="J721" t="str">
            <v/>
          </cell>
        </row>
        <row r="722">
          <cell r="B722" t="str">
            <v>CT5302201</v>
          </cell>
          <cell r="C722">
            <v>18310</v>
          </cell>
          <cell r="D722">
            <v>1660</v>
          </cell>
          <cell r="E722">
            <v>19970</v>
          </cell>
          <cell r="F722">
            <v>8.3000000000000007</v>
          </cell>
          <cell r="G722">
            <v>19970</v>
          </cell>
          <cell r="H722">
            <v>18310</v>
          </cell>
          <cell r="I722">
            <v>1660</v>
          </cell>
          <cell r="J722">
            <v>8.3000000000000007</v>
          </cell>
        </row>
        <row r="723">
          <cell r="B723" t="str">
            <v>CT5302202</v>
          </cell>
          <cell r="C723">
            <v>18330</v>
          </cell>
          <cell r="D723">
            <v>1660</v>
          </cell>
          <cell r="E723">
            <v>19990</v>
          </cell>
          <cell r="F723">
            <v>8.3000000000000007</v>
          </cell>
          <cell r="G723">
            <v>19980</v>
          </cell>
          <cell r="H723">
            <v>18320</v>
          </cell>
          <cell r="I723">
            <v>1660</v>
          </cell>
          <cell r="J723">
            <v>8.2903629536921155</v>
          </cell>
        </row>
        <row r="724">
          <cell r="B724" t="str">
            <v>CT5302203</v>
          </cell>
          <cell r="C724">
            <v>18530</v>
          </cell>
          <cell r="D724">
            <v>1670</v>
          </cell>
          <cell r="E724">
            <v>20200</v>
          </cell>
          <cell r="F724">
            <v>8.3000000000000007</v>
          </cell>
          <cell r="G724">
            <v>20050</v>
          </cell>
          <cell r="H724">
            <v>18390</v>
          </cell>
          <cell r="I724">
            <v>1660</v>
          </cell>
          <cell r="J724">
            <v>8.2829021746358986</v>
          </cell>
        </row>
        <row r="725">
          <cell r="B725" t="str">
            <v>CT5302204</v>
          </cell>
          <cell r="C725">
            <v>18530</v>
          </cell>
          <cell r="D725">
            <v>1520</v>
          </cell>
          <cell r="E725">
            <v>20050</v>
          </cell>
          <cell r="F725">
            <v>7.6</v>
          </cell>
          <cell r="G725">
            <v>20050</v>
          </cell>
          <cell r="H725">
            <v>18420</v>
          </cell>
          <cell r="I725">
            <v>1630</v>
          </cell>
          <cell r="J725">
            <v>8.1074341006010133</v>
          </cell>
        </row>
        <row r="726">
          <cell r="B726" t="str">
            <v>CT5302205</v>
          </cell>
          <cell r="C726">
            <v>18510</v>
          </cell>
          <cell r="D726">
            <v>1540</v>
          </cell>
          <cell r="E726">
            <v>20050</v>
          </cell>
          <cell r="F726">
            <v>7.7</v>
          </cell>
          <cell r="G726">
            <v>20050</v>
          </cell>
          <cell r="H726">
            <v>18440</v>
          </cell>
          <cell r="I726">
            <v>1610</v>
          </cell>
          <cell r="J726">
            <v>8.0171975221203624</v>
          </cell>
        </row>
        <row r="727">
          <cell r="B727" t="str">
            <v>CT5302206</v>
          </cell>
          <cell r="C727">
            <v>18060</v>
          </cell>
          <cell r="D727">
            <v>1610</v>
          </cell>
          <cell r="E727">
            <v>19670</v>
          </cell>
          <cell r="F727">
            <v>8.1999999999999993</v>
          </cell>
          <cell r="G727">
            <v>19990</v>
          </cell>
          <cell r="H727">
            <v>18380</v>
          </cell>
          <cell r="I727">
            <v>1610</v>
          </cell>
          <cell r="J727">
            <v>8.0454306656993477</v>
          </cell>
        </row>
        <row r="728">
          <cell r="B728" t="str">
            <v>CT5302207</v>
          </cell>
          <cell r="C728">
            <v>17850</v>
          </cell>
          <cell r="D728">
            <v>1570</v>
          </cell>
          <cell r="E728">
            <v>19420</v>
          </cell>
          <cell r="F728">
            <v>8.1</v>
          </cell>
          <cell r="G728">
            <v>19910</v>
          </cell>
          <cell r="H728">
            <v>18300</v>
          </cell>
          <cell r="I728">
            <v>1600</v>
          </cell>
          <cell r="J728">
            <v>8.0528483874208785</v>
          </cell>
        </row>
        <row r="729">
          <cell r="B729" t="str">
            <v>CT5302208</v>
          </cell>
          <cell r="C729" t="str">
            <v/>
          </cell>
          <cell r="D729" t="str">
            <v/>
          </cell>
          <cell r="E729" t="e">
            <v>#VALUE!</v>
          </cell>
          <cell r="F729" t="str">
            <v/>
          </cell>
          <cell r="G729" t="str">
            <v/>
          </cell>
          <cell r="H729" t="str">
            <v/>
          </cell>
          <cell r="I729" t="str">
            <v/>
          </cell>
          <cell r="J729" t="str">
            <v/>
          </cell>
        </row>
        <row r="730">
          <cell r="B730" t="str">
            <v>CT5302209</v>
          </cell>
          <cell r="C730" t="str">
            <v/>
          </cell>
          <cell r="D730" t="str">
            <v/>
          </cell>
          <cell r="E730" t="e">
            <v>#VALUE!</v>
          </cell>
          <cell r="F730" t="str">
            <v/>
          </cell>
          <cell r="G730" t="str">
            <v/>
          </cell>
          <cell r="H730" t="str">
            <v/>
          </cell>
          <cell r="I730" t="str">
            <v/>
          </cell>
          <cell r="J730" t="str">
            <v/>
          </cell>
        </row>
        <row r="731">
          <cell r="B731" t="str">
            <v>CT53022010</v>
          </cell>
          <cell r="C731" t="str">
            <v/>
          </cell>
          <cell r="D731" t="str">
            <v/>
          </cell>
          <cell r="E731" t="e">
            <v>#VALUE!</v>
          </cell>
          <cell r="F731" t="str">
            <v/>
          </cell>
          <cell r="G731" t="str">
            <v/>
          </cell>
          <cell r="H731" t="str">
            <v/>
          </cell>
          <cell r="I731" t="str">
            <v/>
          </cell>
          <cell r="J731" t="str">
            <v/>
          </cell>
        </row>
        <row r="732">
          <cell r="B732" t="str">
            <v>CT53022011</v>
          </cell>
          <cell r="C732" t="str">
            <v/>
          </cell>
          <cell r="D732" t="str">
            <v/>
          </cell>
          <cell r="E732" t="e">
            <v>#VALUE!</v>
          </cell>
          <cell r="F732" t="str">
            <v/>
          </cell>
          <cell r="G732" t="str">
            <v/>
          </cell>
          <cell r="H732" t="str">
            <v/>
          </cell>
          <cell r="I732" t="str">
            <v/>
          </cell>
          <cell r="J732" t="str">
            <v/>
          </cell>
        </row>
        <row r="733">
          <cell r="B733" t="str">
            <v>CT53022012</v>
          </cell>
          <cell r="C733" t="str">
            <v/>
          </cell>
          <cell r="D733" t="str">
            <v/>
          </cell>
          <cell r="E733" t="e">
            <v>#VALUE!</v>
          </cell>
          <cell r="F733" t="str">
            <v/>
          </cell>
          <cell r="G733" t="str">
            <v/>
          </cell>
          <cell r="H733" t="str">
            <v/>
          </cell>
          <cell r="I733" t="str">
            <v/>
          </cell>
          <cell r="J733" t="str">
            <v/>
          </cell>
        </row>
        <row r="734">
          <cell r="B734" t="str">
            <v>CT5302001</v>
          </cell>
          <cell r="C734">
            <v>20390</v>
          </cell>
          <cell r="D734">
            <v>1950</v>
          </cell>
          <cell r="E734">
            <v>22340</v>
          </cell>
          <cell r="F734">
            <v>8.6999999999999993</v>
          </cell>
          <cell r="G734">
            <v>22350</v>
          </cell>
          <cell r="H734">
            <v>20390</v>
          </cell>
          <cell r="I734">
            <v>1950</v>
          </cell>
          <cell r="J734">
            <v>8.6999999999999993</v>
          </cell>
        </row>
        <row r="735">
          <cell r="B735" t="str">
            <v>CT5302002</v>
          </cell>
          <cell r="C735">
            <v>20510</v>
          </cell>
          <cell r="D735">
            <v>2030</v>
          </cell>
          <cell r="E735">
            <v>22540</v>
          </cell>
          <cell r="F735">
            <v>9</v>
          </cell>
          <cell r="G735">
            <v>22440</v>
          </cell>
          <cell r="H735">
            <v>20450</v>
          </cell>
          <cell r="I735">
            <v>1990</v>
          </cell>
          <cell r="J735">
            <v>8.8717583103110247</v>
          </cell>
        </row>
        <row r="736">
          <cell r="B736" t="str">
            <v>CT5302003</v>
          </cell>
          <cell r="C736">
            <v>20430</v>
          </cell>
          <cell r="D736">
            <v>2060</v>
          </cell>
          <cell r="E736">
            <v>22490</v>
          </cell>
          <cell r="F736">
            <v>9.1999999999999993</v>
          </cell>
          <cell r="G736">
            <v>22460</v>
          </cell>
          <cell r="H736">
            <v>20450</v>
          </cell>
          <cell r="I736">
            <v>2010</v>
          </cell>
          <cell r="J736">
            <v>8.9661006886725243</v>
          </cell>
        </row>
        <row r="737">
          <cell r="B737" t="str">
            <v>CT5302004</v>
          </cell>
          <cell r="C737">
            <v>20230</v>
          </cell>
          <cell r="D737">
            <v>1830</v>
          </cell>
          <cell r="E737">
            <v>22060</v>
          </cell>
          <cell r="F737">
            <v>8.3000000000000007</v>
          </cell>
          <cell r="G737">
            <v>22360</v>
          </cell>
          <cell r="H737">
            <v>20390</v>
          </cell>
          <cell r="I737">
            <v>1970</v>
          </cell>
          <cell r="J737">
            <v>8.7987655563382638</v>
          </cell>
        </row>
        <row r="738">
          <cell r="B738" t="str">
            <v>CT5302005</v>
          </cell>
          <cell r="C738">
            <v>20350</v>
          </cell>
          <cell r="D738">
            <v>1760</v>
          </cell>
          <cell r="E738">
            <v>22110</v>
          </cell>
          <cell r="F738">
            <v>8</v>
          </cell>
          <cell r="G738">
            <v>22310</v>
          </cell>
          <cell r="H738">
            <v>20380</v>
          </cell>
          <cell r="I738">
            <v>1930</v>
          </cell>
          <cell r="J738">
            <v>8.6352348421684919</v>
          </cell>
        </row>
        <row r="739">
          <cell r="B739" t="str">
            <v>CT5302006</v>
          </cell>
          <cell r="C739">
            <v>20330</v>
          </cell>
          <cell r="D739">
            <v>2010</v>
          </cell>
          <cell r="E739">
            <v>22340</v>
          </cell>
          <cell r="F739">
            <v>9</v>
          </cell>
          <cell r="G739">
            <v>22310</v>
          </cell>
          <cell r="H739">
            <v>20370</v>
          </cell>
          <cell r="I739">
            <v>1940</v>
          </cell>
          <cell r="J739">
            <v>8.6949052530941202</v>
          </cell>
        </row>
        <row r="740">
          <cell r="B740" t="str">
            <v>CT5302007</v>
          </cell>
          <cell r="C740">
            <v>20320</v>
          </cell>
          <cell r="D740">
            <v>1890</v>
          </cell>
          <cell r="E740">
            <v>22210</v>
          </cell>
          <cell r="F740">
            <v>8.5</v>
          </cell>
          <cell r="G740">
            <v>22300</v>
          </cell>
          <cell r="H740">
            <v>20370</v>
          </cell>
          <cell r="I740">
            <v>1930</v>
          </cell>
          <cell r="J740">
            <v>8.6670724284844809</v>
          </cell>
        </row>
        <row r="741">
          <cell r="B741" t="str">
            <v>CT5302008</v>
          </cell>
          <cell r="C741" t="str">
            <v/>
          </cell>
          <cell r="D741" t="str">
            <v/>
          </cell>
          <cell r="E741" t="e">
            <v>#VALUE!</v>
          </cell>
          <cell r="F741" t="str">
            <v/>
          </cell>
          <cell r="G741" t="str">
            <v/>
          </cell>
          <cell r="H741" t="str">
            <v/>
          </cell>
          <cell r="I741" t="str">
            <v/>
          </cell>
          <cell r="J741" t="str">
            <v/>
          </cell>
        </row>
        <row r="742">
          <cell r="B742" t="str">
            <v>CT5302009</v>
          </cell>
          <cell r="C742" t="str">
            <v/>
          </cell>
          <cell r="D742" t="str">
            <v/>
          </cell>
          <cell r="E742" t="e">
            <v>#VALUE!</v>
          </cell>
          <cell r="F742" t="str">
            <v/>
          </cell>
          <cell r="G742" t="str">
            <v/>
          </cell>
          <cell r="H742" t="str">
            <v/>
          </cell>
          <cell r="I742" t="str">
            <v/>
          </cell>
          <cell r="J742" t="str">
            <v/>
          </cell>
        </row>
        <row r="743">
          <cell r="B743" t="str">
            <v>CT53020010</v>
          </cell>
          <cell r="C743" t="str">
            <v/>
          </cell>
          <cell r="D743" t="str">
            <v/>
          </cell>
          <cell r="E743" t="e">
            <v>#VALUE!</v>
          </cell>
          <cell r="F743" t="str">
            <v/>
          </cell>
          <cell r="G743" t="str">
            <v/>
          </cell>
          <cell r="H743" t="str">
            <v/>
          </cell>
          <cell r="I743" t="str">
            <v/>
          </cell>
          <cell r="J743" t="str">
            <v/>
          </cell>
        </row>
        <row r="744">
          <cell r="B744" t="str">
            <v>CT53020011</v>
          </cell>
          <cell r="C744" t="str">
            <v/>
          </cell>
          <cell r="D744" t="str">
            <v/>
          </cell>
          <cell r="E744" t="e">
            <v>#VALUE!</v>
          </cell>
          <cell r="F744" t="str">
            <v/>
          </cell>
          <cell r="G744" t="str">
            <v/>
          </cell>
          <cell r="H744" t="str">
            <v/>
          </cell>
          <cell r="I744" t="str">
            <v/>
          </cell>
          <cell r="J744" t="str">
            <v/>
          </cell>
        </row>
        <row r="745">
          <cell r="B745" t="str">
            <v>CT53020012</v>
          </cell>
          <cell r="C745" t="str">
            <v/>
          </cell>
          <cell r="D745" t="str">
            <v/>
          </cell>
          <cell r="E745" t="e">
            <v>#VALUE!</v>
          </cell>
          <cell r="F745" t="str">
            <v/>
          </cell>
          <cell r="G745" t="str">
            <v/>
          </cell>
          <cell r="H745" t="str">
            <v/>
          </cell>
          <cell r="I745" t="str">
            <v/>
          </cell>
          <cell r="J745" t="str">
            <v/>
          </cell>
        </row>
        <row r="746">
          <cell r="B746" t="str">
            <v>CT5301701</v>
          </cell>
          <cell r="C746">
            <v>15670</v>
          </cell>
          <cell r="D746">
            <v>1600</v>
          </cell>
          <cell r="E746">
            <v>17270</v>
          </cell>
          <cell r="F746">
            <v>9.3000000000000007</v>
          </cell>
          <cell r="G746">
            <v>17270</v>
          </cell>
          <cell r="H746">
            <v>15670</v>
          </cell>
          <cell r="I746">
            <v>1600</v>
          </cell>
          <cell r="J746">
            <v>9.3000000000000007</v>
          </cell>
        </row>
        <row r="747">
          <cell r="B747" t="str">
            <v>CT5301702</v>
          </cell>
          <cell r="C747">
            <v>15760</v>
          </cell>
          <cell r="D747">
            <v>1650</v>
          </cell>
          <cell r="E747">
            <v>17410</v>
          </cell>
          <cell r="F747">
            <v>9.5</v>
          </cell>
          <cell r="G747">
            <v>17340</v>
          </cell>
          <cell r="H747">
            <v>15710</v>
          </cell>
          <cell r="I747">
            <v>1620</v>
          </cell>
          <cell r="J747">
            <v>9.3596769541390241</v>
          </cell>
        </row>
        <row r="748">
          <cell r="B748" t="str">
            <v>CT5301703</v>
          </cell>
          <cell r="C748">
            <v>15700</v>
          </cell>
          <cell r="D748">
            <v>1710</v>
          </cell>
          <cell r="E748">
            <v>17410</v>
          </cell>
          <cell r="F748">
            <v>9.8000000000000007</v>
          </cell>
          <cell r="G748">
            <v>17360</v>
          </cell>
          <cell r="H748">
            <v>15710</v>
          </cell>
          <cell r="I748">
            <v>1650</v>
          </cell>
          <cell r="J748">
            <v>9.5161290322580641</v>
          </cell>
        </row>
        <row r="749">
          <cell r="B749" t="str">
            <v>CT5301704</v>
          </cell>
          <cell r="C749">
            <v>15540</v>
          </cell>
          <cell r="D749">
            <v>1510</v>
          </cell>
          <cell r="E749">
            <v>17050</v>
          </cell>
          <cell r="F749">
            <v>8.8000000000000007</v>
          </cell>
          <cell r="G749">
            <v>17280</v>
          </cell>
          <cell r="H749">
            <v>15670</v>
          </cell>
          <cell r="I749">
            <v>1620</v>
          </cell>
          <cell r="J749">
            <v>9.3478764031940749</v>
          </cell>
        </row>
        <row r="750">
          <cell r="B750" t="str">
            <v>CT5301705</v>
          </cell>
          <cell r="C750">
            <v>15630</v>
          </cell>
          <cell r="D750">
            <v>1540</v>
          </cell>
          <cell r="E750">
            <v>17170</v>
          </cell>
          <cell r="F750">
            <v>8.9</v>
          </cell>
          <cell r="G750">
            <v>17260</v>
          </cell>
          <cell r="H750">
            <v>15660</v>
          </cell>
          <cell r="I750">
            <v>1600</v>
          </cell>
          <cell r="J750">
            <v>9.2669416890701761</v>
          </cell>
        </row>
        <row r="751">
          <cell r="B751" t="str">
            <v>CT5301706</v>
          </cell>
          <cell r="C751">
            <v>15620</v>
          </cell>
          <cell r="D751">
            <v>1700</v>
          </cell>
          <cell r="E751">
            <v>17320</v>
          </cell>
          <cell r="F751">
            <v>9.8000000000000007</v>
          </cell>
          <cell r="G751">
            <v>17270</v>
          </cell>
          <cell r="H751">
            <v>15650</v>
          </cell>
          <cell r="I751">
            <v>1620</v>
          </cell>
          <cell r="J751">
            <v>9.3602524633513173</v>
          </cell>
        </row>
        <row r="752">
          <cell r="B752" t="str">
            <v>CT5301707</v>
          </cell>
          <cell r="C752">
            <v>15610</v>
          </cell>
          <cell r="D752">
            <v>1720</v>
          </cell>
          <cell r="E752">
            <v>17330</v>
          </cell>
          <cell r="F752">
            <v>9.9</v>
          </cell>
          <cell r="G752">
            <v>17280</v>
          </cell>
          <cell r="H752">
            <v>15650</v>
          </cell>
          <cell r="I752">
            <v>1630</v>
          </cell>
          <cell r="J752">
            <v>9.4375036174065485</v>
          </cell>
        </row>
        <row r="753">
          <cell r="B753" t="str">
            <v>CT5301708</v>
          </cell>
          <cell r="C753" t="str">
            <v/>
          </cell>
          <cell r="D753" t="str">
            <v/>
          </cell>
          <cell r="E753" t="e">
            <v>#VALUE!</v>
          </cell>
          <cell r="F753" t="str">
            <v/>
          </cell>
          <cell r="G753" t="str">
            <v/>
          </cell>
          <cell r="H753" t="str">
            <v/>
          </cell>
          <cell r="I753" t="str">
            <v/>
          </cell>
          <cell r="J753" t="str">
            <v/>
          </cell>
        </row>
        <row r="754">
          <cell r="B754" t="str">
            <v>CT5301709</v>
          </cell>
          <cell r="C754" t="str">
            <v/>
          </cell>
          <cell r="D754" t="str">
            <v/>
          </cell>
          <cell r="E754" t="e">
            <v>#VALUE!</v>
          </cell>
          <cell r="F754" t="str">
            <v/>
          </cell>
          <cell r="G754" t="str">
            <v/>
          </cell>
          <cell r="H754" t="str">
            <v/>
          </cell>
          <cell r="I754" t="str">
            <v/>
          </cell>
          <cell r="J754" t="str">
            <v/>
          </cell>
        </row>
        <row r="755">
          <cell r="B755" t="str">
            <v>CT53017010</v>
          </cell>
          <cell r="C755" t="str">
            <v/>
          </cell>
          <cell r="D755" t="str">
            <v/>
          </cell>
          <cell r="E755" t="e">
            <v>#VALUE!</v>
          </cell>
          <cell r="F755" t="str">
            <v/>
          </cell>
          <cell r="G755" t="str">
            <v/>
          </cell>
          <cell r="H755" t="str">
            <v/>
          </cell>
          <cell r="I755" t="str">
            <v/>
          </cell>
          <cell r="J755" t="str">
            <v/>
          </cell>
        </row>
        <row r="756">
          <cell r="B756" t="str">
            <v>CT53017011</v>
          </cell>
          <cell r="C756" t="str">
            <v/>
          </cell>
          <cell r="D756" t="str">
            <v/>
          </cell>
          <cell r="E756" t="e">
            <v>#VALUE!</v>
          </cell>
          <cell r="F756" t="str">
            <v/>
          </cell>
          <cell r="G756" t="str">
            <v/>
          </cell>
          <cell r="H756" t="str">
            <v/>
          </cell>
          <cell r="I756" t="str">
            <v/>
          </cell>
          <cell r="J756" t="str">
            <v/>
          </cell>
        </row>
        <row r="757">
          <cell r="B757" t="str">
            <v>CT53017012</v>
          </cell>
          <cell r="C757" t="str">
            <v/>
          </cell>
          <cell r="D757" t="str">
            <v/>
          </cell>
          <cell r="E757" t="e">
            <v>#VALUE!</v>
          </cell>
          <cell r="F757" t="str">
            <v/>
          </cell>
          <cell r="G757" t="str">
            <v/>
          </cell>
          <cell r="H757" t="str">
            <v/>
          </cell>
          <cell r="I757" t="str">
            <v/>
          </cell>
          <cell r="J757" t="str">
            <v/>
          </cell>
        </row>
        <row r="758">
          <cell r="B758" t="str">
            <v>CT5301601</v>
          </cell>
          <cell r="C758">
            <v>13890</v>
          </cell>
          <cell r="D758">
            <v>1620</v>
          </cell>
          <cell r="E758">
            <v>15510</v>
          </cell>
          <cell r="F758">
            <v>10.5</v>
          </cell>
          <cell r="G758">
            <v>15510</v>
          </cell>
          <cell r="H758">
            <v>13890</v>
          </cell>
          <cell r="I758">
            <v>1620</v>
          </cell>
          <cell r="J758">
            <v>10.5</v>
          </cell>
        </row>
        <row r="759">
          <cell r="B759" t="str">
            <v>CT5301602</v>
          </cell>
          <cell r="C759">
            <v>13970</v>
          </cell>
          <cell r="D759">
            <v>1650</v>
          </cell>
          <cell r="E759">
            <v>15620</v>
          </cell>
          <cell r="F759">
            <v>10.6</v>
          </cell>
          <cell r="G759">
            <v>15560</v>
          </cell>
          <cell r="H759">
            <v>13930</v>
          </cell>
          <cell r="I759">
            <v>1640</v>
          </cell>
          <cell r="J759">
            <v>10.51566265060241</v>
          </cell>
        </row>
        <row r="760">
          <cell r="B760" t="str">
            <v>CT5301603</v>
          </cell>
          <cell r="C760">
            <v>13910</v>
          </cell>
          <cell r="D760">
            <v>1620</v>
          </cell>
          <cell r="E760">
            <v>15530</v>
          </cell>
          <cell r="F760">
            <v>10.4</v>
          </cell>
          <cell r="G760">
            <v>15550</v>
          </cell>
          <cell r="H760">
            <v>13920</v>
          </cell>
          <cell r="I760">
            <v>1630</v>
          </cell>
          <cell r="J760">
            <v>10.485029041730073</v>
          </cell>
        </row>
        <row r="761">
          <cell r="B761" t="str">
            <v>CT5301604</v>
          </cell>
          <cell r="C761">
            <v>13780</v>
          </cell>
          <cell r="D761">
            <v>1460</v>
          </cell>
          <cell r="E761">
            <v>15240</v>
          </cell>
          <cell r="F761">
            <v>9.6</v>
          </cell>
          <cell r="G761">
            <v>15470</v>
          </cell>
          <cell r="H761">
            <v>13890</v>
          </cell>
          <cell r="I761">
            <v>1590</v>
          </cell>
          <cell r="J761">
            <v>10.257238883143744</v>
          </cell>
        </row>
        <row r="762">
          <cell r="B762" t="str">
            <v>CT5301605</v>
          </cell>
          <cell r="C762">
            <v>13860</v>
          </cell>
          <cell r="D762">
            <v>1420</v>
          </cell>
          <cell r="E762">
            <v>15280</v>
          </cell>
          <cell r="F762">
            <v>9.3000000000000007</v>
          </cell>
          <cell r="G762">
            <v>15430</v>
          </cell>
          <cell r="H762">
            <v>13880</v>
          </cell>
          <cell r="I762">
            <v>1550</v>
          </cell>
          <cell r="J762">
            <v>10.069331951014062</v>
          </cell>
        </row>
        <row r="763">
          <cell r="B763" t="str">
            <v>CT5301606</v>
          </cell>
          <cell r="C763">
            <v>13840</v>
          </cell>
          <cell r="D763">
            <v>1670</v>
          </cell>
          <cell r="E763">
            <v>15510</v>
          </cell>
          <cell r="F763">
            <v>10.8</v>
          </cell>
          <cell r="G763">
            <v>15450</v>
          </cell>
          <cell r="H763">
            <v>13870</v>
          </cell>
          <cell r="I763">
            <v>1570</v>
          </cell>
          <cell r="J763">
            <v>10.18763284815658</v>
          </cell>
        </row>
        <row r="764">
          <cell r="B764" t="str">
            <v>CT5301607</v>
          </cell>
          <cell r="C764">
            <v>13830</v>
          </cell>
          <cell r="D764">
            <v>1610</v>
          </cell>
          <cell r="E764">
            <v>15440</v>
          </cell>
          <cell r="F764">
            <v>10.4</v>
          </cell>
          <cell r="G764">
            <v>15450</v>
          </cell>
          <cell r="H764">
            <v>13870</v>
          </cell>
          <cell r="I764">
            <v>1580</v>
          </cell>
          <cell r="J764">
            <v>10.220672561133515</v>
          </cell>
        </row>
        <row r="765">
          <cell r="B765" t="str">
            <v>CT5301608</v>
          </cell>
          <cell r="C765" t="str">
            <v/>
          </cell>
          <cell r="D765" t="str">
            <v/>
          </cell>
          <cell r="E765" t="e">
            <v>#VALUE!</v>
          </cell>
          <cell r="F765" t="str">
            <v/>
          </cell>
          <cell r="G765" t="str">
            <v/>
          </cell>
          <cell r="H765" t="str">
            <v/>
          </cell>
          <cell r="I765" t="str">
            <v/>
          </cell>
          <cell r="J765" t="str">
            <v/>
          </cell>
        </row>
        <row r="766">
          <cell r="B766" t="str">
            <v>CT5301609</v>
          </cell>
          <cell r="C766" t="str">
            <v/>
          </cell>
          <cell r="D766" t="str">
            <v/>
          </cell>
          <cell r="E766" t="e">
            <v>#VALUE!</v>
          </cell>
          <cell r="F766" t="str">
            <v/>
          </cell>
          <cell r="G766" t="str">
            <v/>
          </cell>
          <cell r="H766" t="str">
            <v/>
          </cell>
          <cell r="I766" t="str">
            <v/>
          </cell>
          <cell r="J766" t="str">
            <v/>
          </cell>
        </row>
        <row r="767">
          <cell r="B767" t="str">
            <v>CT53016010</v>
          </cell>
          <cell r="C767" t="str">
            <v/>
          </cell>
          <cell r="D767" t="str">
            <v/>
          </cell>
          <cell r="E767" t="e">
            <v>#VALUE!</v>
          </cell>
          <cell r="F767" t="str">
            <v/>
          </cell>
          <cell r="G767" t="str">
            <v/>
          </cell>
          <cell r="H767" t="str">
            <v/>
          </cell>
          <cell r="I767" t="str">
            <v/>
          </cell>
          <cell r="J767" t="str">
            <v/>
          </cell>
        </row>
        <row r="768">
          <cell r="B768" t="str">
            <v>CT53016011</v>
          </cell>
          <cell r="C768" t="str">
            <v/>
          </cell>
          <cell r="D768" t="str">
            <v/>
          </cell>
          <cell r="E768" t="e">
            <v>#VALUE!</v>
          </cell>
          <cell r="F768" t="str">
            <v/>
          </cell>
          <cell r="G768" t="str">
            <v/>
          </cell>
          <cell r="H768" t="str">
            <v/>
          </cell>
          <cell r="I768" t="str">
            <v/>
          </cell>
          <cell r="J768" t="str">
            <v/>
          </cell>
        </row>
        <row r="769">
          <cell r="B769" t="str">
            <v>CT53016012</v>
          </cell>
          <cell r="C769" t="str">
            <v/>
          </cell>
          <cell r="D769" t="str">
            <v/>
          </cell>
          <cell r="E769" t="e">
            <v>#VALUE!</v>
          </cell>
          <cell r="F769" t="str">
            <v/>
          </cell>
          <cell r="G769" t="str">
            <v/>
          </cell>
          <cell r="H769" t="str">
            <v/>
          </cell>
          <cell r="I769" t="str">
            <v/>
          </cell>
          <cell r="J769" t="str">
            <v/>
          </cell>
        </row>
        <row r="770">
          <cell r="B770" t="str">
            <v>CT5301501</v>
          </cell>
          <cell r="C770">
            <v>14260</v>
          </cell>
          <cell r="D770">
            <v>1490</v>
          </cell>
          <cell r="E770">
            <v>15750</v>
          </cell>
          <cell r="F770">
            <v>9.5</v>
          </cell>
          <cell r="G770">
            <v>15750</v>
          </cell>
          <cell r="H770">
            <v>14260</v>
          </cell>
          <cell r="I770">
            <v>1490</v>
          </cell>
          <cell r="J770">
            <v>9.5</v>
          </cell>
        </row>
        <row r="771">
          <cell r="B771" t="str">
            <v>CT5301502</v>
          </cell>
          <cell r="C771">
            <v>14170</v>
          </cell>
          <cell r="D771">
            <v>1460</v>
          </cell>
          <cell r="E771">
            <v>15630</v>
          </cell>
          <cell r="F771">
            <v>9.3000000000000007</v>
          </cell>
          <cell r="G771">
            <v>15690</v>
          </cell>
          <cell r="H771">
            <v>14210</v>
          </cell>
          <cell r="I771">
            <v>1480</v>
          </cell>
          <cell r="J771">
            <v>9.407265774378585</v>
          </cell>
        </row>
        <row r="772">
          <cell r="B772" t="str">
            <v>CT5301503</v>
          </cell>
          <cell r="C772">
            <v>14150</v>
          </cell>
          <cell r="D772">
            <v>1500</v>
          </cell>
          <cell r="E772">
            <v>15650</v>
          </cell>
          <cell r="F772">
            <v>9.6</v>
          </cell>
          <cell r="G772">
            <v>15680</v>
          </cell>
          <cell r="H772">
            <v>14190</v>
          </cell>
          <cell r="I772">
            <v>1480</v>
          </cell>
          <cell r="J772">
            <v>9.4601203512726197</v>
          </cell>
        </row>
        <row r="773">
          <cell r="B773" t="str">
            <v>CT5301504</v>
          </cell>
          <cell r="C773">
            <v>14110</v>
          </cell>
          <cell r="D773">
            <v>1390</v>
          </cell>
          <cell r="E773">
            <v>15500</v>
          </cell>
          <cell r="F773">
            <v>9</v>
          </cell>
          <cell r="G773">
            <v>15630</v>
          </cell>
          <cell r="H773">
            <v>14170</v>
          </cell>
          <cell r="I773">
            <v>1460</v>
          </cell>
          <cell r="J773">
            <v>9.338515177686082</v>
          </cell>
        </row>
        <row r="774">
          <cell r="B774" t="str">
            <v>CT5301505</v>
          </cell>
          <cell r="C774">
            <v>14110</v>
          </cell>
          <cell r="D774">
            <v>1470</v>
          </cell>
          <cell r="E774">
            <v>15580</v>
          </cell>
          <cell r="F774">
            <v>9.5</v>
          </cell>
          <cell r="G774">
            <v>15620</v>
          </cell>
          <cell r="H774">
            <v>14160</v>
          </cell>
          <cell r="I774">
            <v>1460</v>
          </cell>
          <cell r="J774">
            <v>9.3630369374559894</v>
          </cell>
        </row>
        <row r="775">
          <cell r="B775" t="str">
            <v>CT5301506</v>
          </cell>
          <cell r="C775">
            <v>13810</v>
          </cell>
          <cell r="D775">
            <v>1470</v>
          </cell>
          <cell r="E775">
            <v>15280</v>
          </cell>
          <cell r="F775">
            <v>9.6</v>
          </cell>
          <cell r="G775">
            <v>15560</v>
          </cell>
          <cell r="H775">
            <v>14100</v>
          </cell>
          <cell r="I775">
            <v>1460</v>
          </cell>
          <cell r="J775">
            <v>9.4044827106156497</v>
          </cell>
        </row>
        <row r="776">
          <cell r="B776" t="str">
            <v>CT5301507</v>
          </cell>
          <cell r="C776">
            <v>13670</v>
          </cell>
          <cell r="D776">
            <v>1470</v>
          </cell>
          <cell r="E776">
            <v>15140</v>
          </cell>
          <cell r="F776">
            <v>9.6999999999999993</v>
          </cell>
          <cell r="G776">
            <v>15500</v>
          </cell>
          <cell r="H776">
            <v>14040</v>
          </cell>
          <cell r="I776">
            <v>1470</v>
          </cell>
          <cell r="J776">
            <v>9.4492614741032188</v>
          </cell>
        </row>
        <row r="777">
          <cell r="B777" t="str">
            <v>CT5301508</v>
          </cell>
          <cell r="C777" t="str">
            <v/>
          </cell>
          <cell r="D777" t="str">
            <v/>
          </cell>
          <cell r="E777" t="e">
            <v>#VALUE!</v>
          </cell>
          <cell r="F777" t="str">
            <v/>
          </cell>
          <cell r="G777" t="str">
            <v/>
          </cell>
          <cell r="H777" t="str">
            <v/>
          </cell>
          <cell r="I777" t="str">
            <v/>
          </cell>
          <cell r="J777" t="str">
            <v/>
          </cell>
        </row>
        <row r="778">
          <cell r="B778" t="str">
            <v>CT5301509</v>
          </cell>
          <cell r="C778" t="str">
            <v/>
          </cell>
          <cell r="D778" t="str">
            <v/>
          </cell>
          <cell r="E778" t="e">
            <v>#VALUE!</v>
          </cell>
          <cell r="F778" t="str">
            <v/>
          </cell>
          <cell r="G778" t="str">
            <v/>
          </cell>
          <cell r="H778" t="str">
            <v/>
          </cell>
          <cell r="I778" t="str">
            <v/>
          </cell>
          <cell r="J778" t="str">
            <v/>
          </cell>
        </row>
        <row r="779">
          <cell r="B779" t="str">
            <v>CT53015010</v>
          </cell>
          <cell r="C779" t="str">
            <v/>
          </cell>
          <cell r="D779" t="str">
            <v/>
          </cell>
          <cell r="E779" t="e">
            <v>#VALUE!</v>
          </cell>
          <cell r="F779" t="str">
            <v/>
          </cell>
          <cell r="G779" t="str">
            <v/>
          </cell>
          <cell r="H779" t="str">
            <v/>
          </cell>
          <cell r="I779" t="str">
            <v/>
          </cell>
          <cell r="J779" t="str">
            <v/>
          </cell>
        </row>
        <row r="780">
          <cell r="B780" t="str">
            <v>CT53015011</v>
          </cell>
          <cell r="C780" t="str">
            <v/>
          </cell>
          <cell r="D780" t="str">
            <v/>
          </cell>
          <cell r="E780" t="e">
            <v>#VALUE!</v>
          </cell>
          <cell r="F780" t="str">
            <v/>
          </cell>
          <cell r="G780" t="str">
            <v/>
          </cell>
          <cell r="H780" t="str">
            <v/>
          </cell>
          <cell r="I780" t="str">
            <v/>
          </cell>
          <cell r="J780" t="str">
            <v/>
          </cell>
        </row>
        <row r="781">
          <cell r="B781" t="str">
            <v>CT53015012</v>
          </cell>
          <cell r="C781" t="str">
            <v/>
          </cell>
          <cell r="D781" t="str">
            <v/>
          </cell>
          <cell r="E781" t="e">
            <v>#VALUE!</v>
          </cell>
          <cell r="F781" t="str">
            <v/>
          </cell>
          <cell r="G781" t="str">
            <v/>
          </cell>
          <cell r="H781" t="str">
            <v/>
          </cell>
          <cell r="I781" t="str">
            <v/>
          </cell>
          <cell r="J781" t="str">
            <v/>
          </cell>
        </row>
        <row r="782">
          <cell r="B782" t="str">
            <v>CT5301301</v>
          </cell>
          <cell r="C782">
            <v>17610</v>
          </cell>
          <cell r="D782">
            <v>1660</v>
          </cell>
          <cell r="E782">
            <v>19270</v>
          </cell>
          <cell r="F782">
            <v>8.6</v>
          </cell>
          <cell r="G782">
            <v>19270</v>
          </cell>
          <cell r="H782">
            <v>17610</v>
          </cell>
          <cell r="I782">
            <v>1660</v>
          </cell>
          <cell r="J782">
            <v>8.6</v>
          </cell>
        </row>
        <row r="783">
          <cell r="B783" t="str">
            <v>CT5301302</v>
          </cell>
          <cell r="C783">
            <v>17700</v>
          </cell>
          <cell r="D783">
            <v>1690</v>
          </cell>
          <cell r="E783">
            <v>19390</v>
          </cell>
          <cell r="F783">
            <v>8.6999999999999993</v>
          </cell>
          <cell r="G783">
            <v>19330</v>
          </cell>
          <cell r="H783">
            <v>17650</v>
          </cell>
          <cell r="I783">
            <v>1670</v>
          </cell>
          <cell r="J783">
            <v>8.6536969007088533</v>
          </cell>
        </row>
        <row r="784">
          <cell r="B784" t="str">
            <v>CT5301303</v>
          </cell>
          <cell r="C784">
            <v>17640</v>
          </cell>
          <cell r="D784">
            <v>1660</v>
          </cell>
          <cell r="E784">
            <v>19300</v>
          </cell>
          <cell r="F784">
            <v>8.6</v>
          </cell>
          <cell r="G784">
            <v>19320</v>
          </cell>
          <cell r="H784">
            <v>17650</v>
          </cell>
          <cell r="I784">
            <v>1670</v>
          </cell>
          <cell r="J784">
            <v>8.6331555969698552</v>
          </cell>
        </row>
        <row r="785">
          <cell r="B785" t="str">
            <v>CT5301304</v>
          </cell>
          <cell r="C785">
            <v>17460</v>
          </cell>
          <cell r="D785">
            <v>1460</v>
          </cell>
          <cell r="E785">
            <v>18920</v>
          </cell>
          <cell r="F785">
            <v>7.7</v>
          </cell>
          <cell r="G785">
            <v>19220</v>
          </cell>
          <cell r="H785">
            <v>17600</v>
          </cell>
          <cell r="I785">
            <v>1620</v>
          </cell>
          <cell r="J785">
            <v>8.4096467037827161</v>
          </cell>
        </row>
        <row r="786">
          <cell r="B786" t="str">
            <v>CT5301305</v>
          </cell>
          <cell r="C786">
            <v>17570</v>
          </cell>
          <cell r="D786">
            <v>1430</v>
          </cell>
          <cell r="E786">
            <v>19000</v>
          </cell>
          <cell r="F786">
            <v>7.5</v>
          </cell>
          <cell r="G786">
            <v>19180</v>
          </cell>
          <cell r="H786">
            <v>17600</v>
          </cell>
          <cell r="I786">
            <v>1580</v>
          </cell>
          <cell r="J786">
            <v>8.2388526727509781</v>
          </cell>
        </row>
        <row r="787">
          <cell r="B787" t="str">
            <v>CT5301306</v>
          </cell>
          <cell r="C787">
            <v>17550</v>
          </cell>
          <cell r="D787">
            <v>1630</v>
          </cell>
          <cell r="E787">
            <v>19180</v>
          </cell>
          <cell r="F787">
            <v>8.5</v>
          </cell>
          <cell r="G787">
            <v>19180</v>
          </cell>
          <cell r="H787">
            <v>17590</v>
          </cell>
          <cell r="I787">
            <v>1590</v>
          </cell>
          <cell r="J787">
            <v>8.2811848143512723</v>
          </cell>
        </row>
        <row r="788">
          <cell r="B788" t="str">
            <v>CT5301307</v>
          </cell>
          <cell r="C788">
            <v>17540</v>
          </cell>
          <cell r="D788">
            <v>1600</v>
          </cell>
          <cell r="E788">
            <v>19140</v>
          </cell>
          <cell r="F788">
            <v>8.3000000000000007</v>
          </cell>
          <cell r="G788">
            <v>19170</v>
          </cell>
          <cell r="H788">
            <v>17580</v>
          </cell>
          <cell r="I788">
            <v>1590</v>
          </cell>
          <cell r="J788">
            <v>8.2890549896042156</v>
          </cell>
        </row>
        <row r="789">
          <cell r="B789" t="str">
            <v>CT5301308</v>
          </cell>
          <cell r="C789" t="str">
            <v/>
          </cell>
          <cell r="D789" t="str">
            <v/>
          </cell>
          <cell r="E789" t="e">
            <v>#VALUE!</v>
          </cell>
          <cell r="F789" t="str">
            <v/>
          </cell>
          <cell r="G789" t="str">
            <v/>
          </cell>
          <cell r="H789" t="str">
            <v/>
          </cell>
          <cell r="I789" t="str">
            <v/>
          </cell>
          <cell r="J789" t="str">
            <v/>
          </cell>
        </row>
        <row r="790">
          <cell r="B790" t="str">
            <v>CT5301309</v>
          </cell>
          <cell r="C790" t="str">
            <v/>
          </cell>
          <cell r="D790" t="str">
            <v/>
          </cell>
          <cell r="E790" t="e">
            <v>#VALUE!</v>
          </cell>
          <cell r="F790" t="str">
            <v/>
          </cell>
          <cell r="G790" t="str">
            <v/>
          </cell>
          <cell r="H790" t="str">
            <v/>
          </cell>
          <cell r="I790" t="str">
            <v/>
          </cell>
          <cell r="J790" t="str">
            <v/>
          </cell>
        </row>
        <row r="791">
          <cell r="B791" t="str">
            <v>CT53013010</v>
          </cell>
          <cell r="C791" t="str">
            <v/>
          </cell>
          <cell r="D791" t="str">
            <v/>
          </cell>
          <cell r="E791" t="e">
            <v>#VALUE!</v>
          </cell>
          <cell r="F791" t="str">
            <v/>
          </cell>
          <cell r="G791" t="str">
            <v/>
          </cell>
          <cell r="H791" t="str">
            <v/>
          </cell>
          <cell r="I791" t="str">
            <v/>
          </cell>
          <cell r="J791" t="str">
            <v/>
          </cell>
        </row>
        <row r="792">
          <cell r="B792" t="str">
            <v>CT53013011</v>
          </cell>
          <cell r="C792" t="str">
            <v/>
          </cell>
          <cell r="D792" t="str">
            <v/>
          </cell>
          <cell r="E792" t="e">
            <v>#VALUE!</v>
          </cell>
          <cell r="F792" t="str">
            <v/>
          </cell>
          <cell r="G792" t="str">
            <v/>
          </cell>
          <cell r="H792" t="str">
            <v/>
          </cell>
          <cell r="I792" t="str">
            <v/>
          </cell>
          <cell r="J792" t="str">
            <v/>
          </cell>
        </row>
        <row r="793">
          <cell r="B793" t="str">
            <v>CT53013012</v>
          </cell>
          <cell r="C793" t="str">
            <v/>
          </cell>
          <cell r="D793" t="str">
            <v/>
          </cell>
          <cell r="E793" t="e">
            <v>#VALUE!</v>
          </cell>
          <cell r="F793" t="str">
            <v/>
          </cell>
          <cell r="G793" t="str">
            <v/>
          </cell>
          <cell r="H793" t="str">
            <v/>
          </cell>
          <cell r="I793" t="str">
            <v/>
          </cell>
          <cell r="J793" t="str">
            <v/>
          </cell>
        </row>
        <row r="794">
          <cell r="B794" t="str">
            <v>CT5301001</v>
          </cell>
          <cell r="C794">
            <v>39320</v>
          </cell>
          <cell r="D794">
            <v>3860</v>
          </cell>
          <cell r="E794">
            <v>43180</v>
          </cell>
          <cell r="F794">
            <v>8.9</v>
          </cell>
          <cell r="G794">
            <v>43180</v>
          </cell>
          <cell r="H794">
            <v>39320</v>
          </cell>
          <cell r="I794">
            <v>3860</v>
          </cell>
          <cell r="J794">
            <v>8.9</v>
          </cell>
        </row>
        <row r="795">
          <cell r="B795" t="str">
            <v>CT5301002</v>
          </cell>
          <cell r="C795">
            <v>39270</v>
          </cell>
          <cell r="D795">
            <v>3930</v>
          </cell>
          <cell r="E795">
            <v>43200</v>
          </cell>
          <cell r="F795">
            <v>9.1</v>
          </cell>
          <cell r="G795">
            <v>43190</v>
          </cell>
          <cell r="H795">
            <v>39290</v>
          </cell>
          <cell r="I795">
            <v>3890</v>
          </cell>
          <cell r="J795">
            <v>9.0175511716217471</v>
          </cell>
        </row>
        <row r="796">
          <cell r="B796" t="str">
            <v>CT5301003</v>
          </cell>
          <cell r="C796">
            <v>39670</v>
          </cell>
          <cell r="D796">
            <v>3940</v>
          </cell>
          <cell r="E796">
            <v>43610</v>
          </cell>
          <cell r="F796">
            <v>9</v>
          </cell>
          <cell r="G796">
            <v>43330</v>
          </cell>
          <cell r="H796">
            <v>39420</v>
          </cell>
          <cell r="I796">
            <v>3910</v>
          </cell>
          <cell r="J796">
            <v>9.0234182668636151</v>
          </cell>
        </row>
        <row r="797">
          <cell r="B797" t="str">
            <v>CT5301004</v>
          </cell>
          <cell r="C797">
            <v>39380</v>
          </cell>
          <cell r="D797">
            <v>3280</v>
          </cell>
          <cell r="E797">
            <v>42660</v>
          </cell>
          <cell r="F797">
            <v>7.7</v>
          </cell>
          <cell r="G797">
            <v>43160</v>
          </cell>
          <cell r="H797">
            <v>39410</v>
          </cell>
          <cell r="I797">
            <v>3750</v>
          </cell>
          <cell r="J797">
            <v>8.6925545348177149</v>
          </cell>
        </row>
        <row r="798">
          <cell r="B798" t="str">
            <v>CT5301005</v>
          </cell>
          <cell r="C798">
            <v>39910</v>
          </cell>
          <cell r="D798">
            <v>3420</v>
          </cell>
          <cell r="E798">
            <v>43330</v>
          </cell>
          <cell r="F798">
            <v>7.9</v>
          </cell>
          <cell r="G798">
            <v>43190</v>
          </cell>
          <cell r="H798">
            <v>39510</v>
          </cell>
          <cell r="I798">
            <v>3680</v>
          </cell>
          <cell r="J798">
            <v>8.5308934656986235</v>
          </cell>
        </row>
        <row r="799">
          <cell r="B799" t="str">
            <v>CT5301006</v>
          </cell>
          <cell r="C799">
            <v>39280</v>
          </cell>
          <cell r="D799">
            <v>3470</v>
          </cell>
          <cell r="E799">
            <v>42750</v>
          </cell>
          <cell r="F799">
            <v>8.1</v>
          </cell>
          <cell r="G799">
            <v>43120</v>
          </cell>
          <cell r="H799">
            <v>39470</v>
          </cell>
          <cell r="I799">
            <v>3650</v>
          </cell>
          <cell r="J799">
            <v>8.4613362812019268</v>
          </cell>
        </row>
        <row r="800">
          <cell r="B800" t="str">
            <v>CT5301007</v>
          </cell>
          <cell r="C800">
            <v>39070</v>
          </cell>
          <cell r="D800">
            <v>3490</v>
          </cell>
          <cell r="E800">
            <v>42560</v>
          </cell>
          <cell r="F800">
            <v>8.1999999999999993</v>
          </cell>
          <cell r="G800">
            <v>43040</v>
          </cell>
          <cell r="H800">
            <v>39410</v>
          </cell>
          <cell r="I800">
            <v>3630</v>
          </cell>
          <cell r="J800">
            <v>8.4243613105373392</v>
          </cell>
        </row>
        <row r="801">
          <cell r="B801" t="str">
            <v>CT5301008</v>
          </cell>
          <cell r="C801" t="str">
            <v/>
          </cell>
          <cell r="D801" t="str">
            <v/>
          </cell>
          <cell r="E801" t="e">
            <v>#VALUE!</v>
          </cell>
          <cell r="F801" t="str">
            <v/>
          </cell>
          <cell r="G801" t="str">
            <v/>
          </cell>
          <cell r="H801" t="str">
            <v/>
          </cell>
          <cell r="I801" t="str">
            <v/>
          </cell>
          <cell r="J801" t="str">
            <v/>
          </cell>
        </row>
        <row r="802">
          <cell r="B802" t="str">
            <v>CT5301009</v>
          </cell>
          <cell r="C802" t="str">
            <v/>
          </cell>
          <cell r="D802" t="str">
            <v/>
          </cell>
          <cell r="E802" t="e">
            <v>#VALUE!</v>
          </cell>
          <cell r="F802" t="str">
            <v/>
          </cell>
          <cell r="G802" t="str">
            <v/>
          </cell>
          <cell r="H802" t="str">
            <v/>
          </cell>
          <cell r="I802" t="str">
            <v/>
          </cell>
          <cell r="J802" t="str">
            <v/>
          </cell>
        </row>
        <row r="803">
          <cell r="B803" t="str">
            <v>CT53010010</v>
          </cell>
          <cell r="C803" t="str">
            <v/>
          </cell>
          <cell r="D803" t="str">
            <v/>
          </cell>
          <cell r="E803" t="e">
            <v>#VALUE!</v>
          </cell>
          <cell r="F803" t="str">
            <v/>
          </cell>
          <cell r="G803" t="str">
            <v/>
          </cell>
          <cell r="H803" t="str">
            <v/>
          </cell>
          <cell r="I803" t="str">
            <v/>
          </cell>
          <cell r="J803" t="str">
            <v/>
          </cell>
        </row>
        <row r="804">
          <cell r="B804" t="str">
            <v>CT53010011</v>
          </cell>
          <cell r="C804" t="str">
            <v/>
          </cell>
          <cell r="D804" t="str">
            <v/>
          </cell>
          <cell r="E804" t="e">
            <v>#VALUE!</v>
          </cell>
          <cell r="F804" t="str">
            <v/>
          </cell>
          <cell r="G804" t="str">
            <v/>
          </cell>
          <cell r="H804" t="str">
            <v/>
          </cell>
          <cell r="I804" t="str">
            <v/>
          </cell>
          <cell r="J804" t="str">
            <v/>
          </cell>
        </row>
        <row r="805">
          <cell r="B805" t="str">
            <v>CT53010012</v>
          </cell>
          <cell r="C805" t="str">
            <v/>
          </cell>
          <cell r="D805" t="str">
            <v/>
          </cell>
          <cell r="E805" t="e">
            <v>#VALUE!</v>
          </cell>
          <cell r="F805" t="str">
            <v/>
          </cell>
          <cell r="G805" t="str">
            <v/>
          </cell>
          <cell r="H805" t="str">
            <v/>
          </cell>
          <cell r="I805" t="str">
            <v/>
          </cell>
          <cell r="J805" t="str">
            <v/>
          </cell>
        </row>
        <row r="806">
          <cell r="B806" t="str">
            <v>CT5300501</v>
          </cell>
          <cell r="C806">
            <v>29380</v>
          </cell>
          <cell r="D806">
            <v>2950</v>
          </cell>
          <cell r="E806">
            <v>32330</v>
          </cell>
          <cell r="F806">
            <v>9.1</v>
          </cell>
          <cell r="G806">
            <v>32330</v>
          </cell>
          <cell r="H806">
            <v>29380</v>
          </cell>
          <cell r="I806">
            <v>2950</v>
          </cell>
          <cell r="J806">
            <v>9.1</v>
          </cell>
        </row>
        <row r="807">
          <cell r="B807" t="str">
            <v>CT5300502</v>
          </cell>
          <cell r="C807">
            <v>29500</v>
          </cell>
          <cell r="D807">
            <v>2990</v>
          </cell>
          <cell r="E807">
            <v>32490</v>
          </cell>
          <cell r="F807">
            <v>9.1999999999999993</v>
          </cell>
          <cell r="G807">
            <v>32410</v>
          </cell>
          <cell r="H807">
            <v>29440</v>
          </cell>
          <cell r="I807">
            <v>2970</v>
          </cell>
          <cell r="J807">
            <v>9.1680422072412568</v>
          </cell>
        </row>
        <row r="808">
          <cell r="B808" t="str">
            <v>CT5300503</v>
          </cell>
          <cell r="C808">
            <v>29410</v>
          </cell>
          <cell r="D808">
            <v>2970</v>
          </cell>
          <cell r="E808">
            <v>32380</v>
          </cell>
          <cell r="F808">
            <v>9.1999999999999993</v>
          </cell>
          <cell r="G808">
            <v>32400</v>
          </cell>
          <cell r="H808">
            <v>29430</v>
          </cell>
          <cell r="I808">
            <v>2970</v>
          </cell>
          <cell r="J808">
            <v>9.1676011563667039</v>
          </cell>
        </row>
        <row r="809">
          <cell r="B809" t="str">
            <v>CT5300504</v>
          </cell>
          <cell r="C809">
            <v>29140</v>
          </cell>
          <cell r="D809">
            <v>2780</v>
          </cell>
          <cell r="E809">
            <v>31920</v>
          </cell>
          <cell r="F809">
            <v>8.6999999999999993</v>
          </cell>
          <cell r="G809">
            <v>32280</v>
          </cell>
          <cell r="H809">
            <v>29360</v>
          </cell>
          <cell r="I809">
            <v>2920</v>
          </cell>
          <cell r="J809">
            <v>9.0528891952384996</v>
          </cell>
        </row>
        <row r="810">
          <cell r="B810" t="str">
            <v>CT5300505</v>
          </cell>
          <cell r="C810">
            <v>29320</v>
          </cell>
          <cell r="D810">
            <v>2820</v>
          </cell>
          <cell r="E810">
            <v>32140</v>
          </cell>
          <cell r="F810">
            <v>8.8000000000000007</v>
          </cell>
          <cell r="G810">
            <v>32250</v>
          </cell>
          <cell r="H810">
            <v>29350</v>
          </cell>
          <cell r="I810">
            <v>2900</v>
          </cell>
          <cell r="J810">
            <v>8.9942824542038231</v>
          </cell>
        </row>
        <row r="811">
          <cell r="B811" t="str">
            <v>CT5300506</v>
          </cell>
          <cell r="C811">
            <v>29250</v>
          </cell>
          <cell r="D811">
            <v>3000</v>
          </cell>
          <cell r="E811">
            <v>32250</v>
          </cell>
          <cell r="F811">
            <v>9.3000000000000007</v>
          </cell>
          <cell r="G811">
            <v>32250</v>
          </cell>
          <cell r="H811">
            <v>29330</v>
          </cell>
          <cell r="I811">
            <v>2920</v>
          </cell>
          <cell r="J811">
            <v>9.0457610914446658</v>
          </cell>
        </row>
        <row r="812">
          <cell r="B812" t="str">
            <v>CT5300507</v>
          </cell>
          <cell r="C812">
            <v>29180</v>
          </cell>
          <cell r="D812">
            <v>2870</v>
          </cell>
          <cell r="E812">
            <v>32050</v>
          </cell>
          <cell r="F812">
            <v>9</v>
          </cell>
          <cell r="G812">
            <v>32220</v>
          </cell>
          <cell r="H812">
            <v>29310</v>
          </cell>
          <cell r="I812">
            <v>2910</v>
          </cell>
          <cell r="J812">
            <v>9.032306689661592</v>
          </cell>
        </row>
        <row r="813">
          <cell r="B813" t="str">
            <v>CT5300508</v>
          </cell>
          <cell r="C813" t="str">
            <v/>
          </cell>
          <cell r="D813" t="str">
            <v/>
          </cell>
          <cell r="E813" t="e">
            <v>#VALUE!</v>
          </cell>
          <cell r="F813" t="str">
            <v/>
          </cell>
          <cell r="G813" t="str">
            <v/>
          </cell>
          <cell r="H813" t="str">
            <v/>
          </cell>
          <cell r="I813" t="str">
            <v/>
          </cell>
          <cell r="J813" t="str">
            <v/>
          </cell>
        </row>
        <row r="814">
          <cell r="B814" t="str">
            <v>CT5300509</v>
          </cell>
          <cell r="C814" t="str">
            <v/>
          </cell>
          <cell r="D814" t="str">
            <v/>
          </cell>
          <cell r="E814" t="e">
            <v>#VALUE!</v>
          </cell>
          <cell r="F814" t="str">
            <v/>
          </cell>
          <cell r="G814" t="str">
            <v/>
          </cell>
          <cell r="H814" t="str">
            <v/>
          </cell>
          <cell r="I814" t="str">
            <v/>
          </cell>
          <cell r="J814" t="str">
            <v/>
          </cell>
        </row>
        <row r="815">
          <cell r="B815" t="str">
            <v>CT53005010</v>
          </cell>
          <cell r="C815" t="str">
            <v/>
          </cell>
          <cell r="D815" t="str">
            <v/>
          </cell>
          <cell r="E815" t="e">
            <v>#VALUE!</v>
          </cell>
          <cell r="F815" t="str">
            <v/>
          </cell>
          <cell r="G815" t="str">
            <v/>
          </cell>
          <cell r="H815" t="str">
            <v/>
          </cell>
          <cell r="I815" t="str">
            <v/>
          </cell>
          <cell r="J815" t="str">
            <v/>
          </cell>
        </row>
        <row r="816">
          <cell r="B816" t="str">
            <v>CT53005011</v>
          </cell>
          <cell r="C816" t="str">
            <v/>
          </cell>
          <cell r="D816" t="str">
            <v/>
          </cell>
          <cell r="E816" t="e">
            <v>#VALUE!</v>
          </cell>
          <cell r="F816" t="str">
            <v/>
          </cell>
          <cell r="G816" t="str">
            <v/>
          </cell>
          <cell r="H816" t="str">
            <v/>
          </cell>
          <cell r="I816" t="str">
            <v/>
          </cell>
          <cell r="J816" t="str">
            <v/>
          </cell>
        </row>
        <row r="817">
          <cell r="B817" t="str">
            <v>CT53005012</v>
          </cell>
          <cell r="C817" t="str">
            <v/>
          </cell>
          <cell r="D817" t="str">
            <v/>
          </cell>
          <cell r="E817" t="e">
            <v>#VALUE!</v>
          </cell>
          <cell r="F817" t="str">
            <v/>
          </cell>
          <cell r="G817" t="str">
            <v/>
          </cell>
          <cell r="H817" t="str">
            <v/>
          </cell>
          <cell r="I817" t="str">
            <v/>
          </cell>
          <cell r="J817" t="str">
            <v/>
          </cell>
        </row>
        <row r="818">
          <cell r="B818" t="str">
            <v>CN5306901</v>
          </cell>
          <cell r="C818">
            <v>1340</v>
          </cell>
          <cell r="D818">
            <v>250</v>
          </cell>
          <cell r="E818">
            <v>1590</v>
          </cell>
          <cell r="F818">
            <v>15.9</v>
          </cell>
          <cell r="G818">
            <v>1600</v>
          </cell>
          <cell r="H818">
            <v>1340</v>
          </cell>
          <cell r="I818">
            <v>250</v>
          </cell>
          <cell r="J818">
            <v>15.9</v>
          </cell>
        </row>
        <row r="819">
          <cell r="B819" t="str">
            <v>CN5306902</v>
          </cell>
          <cell r="C819">
            <v>1360</v>
          </cell>
          <cell r="D819">
            <v>230</v>
          </cell>
          <cell r="E819">
            <v>1590</v>
          </cell>
          <cell r="F819">
            <v>14.3</v>
          </cell>
          <cell r="G819">
            <v>1590</v>
          </cell>
          <cell r="H819">
            <v>1350</v>
          </cell>
          <cell r="I819">
            <v>240</v>
          </cell>
          <cell r="J819">
            <v>15.121031122288588</v>
          </cell>
        </row>
        <row r="820">
          <cell r="B820" t="str">
            <v>CN5306903</v>
          </cell>
          <cell r="C820">
            <v>1370</v>
          </cell>
          <cell r="D820">
            <v>230</v>
          </cell>
          <cell r="E820">
            <v>1600</v>
          </cell>
          <cell r="F820">
            <v>14.3</v>
          </cell>
          <cell r="G820">
            <v>1590</v>
          </cell>
          <cell r="H820">
            <v>1360</v>
          </cell>
          <cell r="I820">
            <v>240</v>
          </cell>
          <cell r="J820">
            <v>14.859773964001674</v>
          </cell>
        </row>
        <row r="821">
          <cell r="B821" t="str">
            <v>CN5306904</v>
          </cell>
          <cell r="C821">
            <v>1360</v>
          </cell>
          <cell r="D821">
            <v>190</v>
          </cell>
          <cell r="E821">
            <v>1550</v>
          </cell>
          <cell r="F821">
            <v>12.5</v>
          </cell>
          <cell r="G821">
            <v>1580</v>
          </cell>
          <cell r="H821">
            <v>1360</v>
          </cell>
          <cell r="I821">
            <v>230</v>
          </cell>
          <cell r="J821">
            <v>14.267676767676768</v>
          </cell>
        </row>
        <row r="822">
          <cell r="B822" t="str">
            <v>CN5306905</v>
          </cell>
          <cell r="C822">
            <v>1380</v>
          </cell>
          <cell r="D822">
            <v>190</v>
          </cell>
          <cell r="E822">
            <v>1570</v>
          </cell>
          <cell r="F822">
            <v>12.2</v>
          </cell>
          <cell r="G822">
            <v>1580</v>
          </cell>
          <cell r="H822">
            <v>1360</v>
          </cell>
          <cell r="I822">
            <v>220</v>
          </cell>
          <cell r="J822">
            <v>13.864642631246046</v>
          </cell>
        </row>
        <row r="823">
          <cell r="B823" t="str">
            <v>CN5306906</v>
          </cell>
          <cell r="C823">
            <v>1320</v>
          </cell>
          <cell r="D823">
            <v>200</v>
          </cell>
          <cell r="E823">
            <v>1520</v>
          </cell>
          <cell r="F823">
            <v>13.2</v>
          </cell>
          <cell r="G823">
            <v>1570</v>
          </cell>
          <cell r="H823">
            <v>1350</v>
          </cell>
          <cell r="I823">
            <v>220</v>
          </cell>
          <cell r="J823">
            <v>13.752122241086587</v>
          </cell>
        </row>
        <row r="824">
          <cell r="B824" t="str">
            <v>CN5306907</v>
          </cell>
          <cell r="C824">
            <v>1280</v>
          </cell>
          <cell r="D824">
            <v>170</v>
          </cell>
          <cell r="E824">
            <v>1450</v>
          </cell>
          <cell r="F824">
            <v>11.9</v>
          </cell>
          <cell r="G824">
            <v>1550</v>
          </cell>
          <cell r="H824">
            <v>1340</v>
          </cell>
          <cell r="I824">
            <v>210</v>
          </cell>
          <cell r="J824">
            <v>13.509787703336091</v>
          </cell>
        </row>
        <row r="825">
          <cell r="B825" t="str">
            <v>CN5306908</v>
          </cell>
          <cell r="C825" t="str">
            <v/>
          </cell>
          <cell r="D825" t="str">
            <v/>
          </cell>
          <cell r="E825" t="e">
            <v>#VALUE!</v>
          </cell>
          <cell r="F825" t="str">
            <v/>
          </cell>
          <cell r="G825" t="str">
            <v/>
          </cell>
          <cell r="H825" t="str">
            <v/>
          </cell>
          <cell r="I825" t="str">
            <v/>
          </cell>
          <cell r="J825" t="str">
            <v/>
          </cell>
        </row>
        <row r="826">
          <cell r="B826" t="str">
            <v>CN5306909</v>
          </cell>
          <cell r="C826" t="str">
            <v/>
          </cell>
          <cell r="D826" t="str">
            <v/>
          </cell>
          <cell r="E826" t="e">
            <v>#VALUE!</v>
          </cell>
          <cell r="F826" t="str">
            <v/>
          </cell>
          <cell r="G826" t="str">
            <v/>
          </cell>
          <cell r="H826" t="str">
            <v/>
          </cell>
          <cell r="I826" t="str">
            <v/>
          </cell>
          <cell r="J826" t="str">
            <v/>
          </cell>
        </row>
        <row r="827">
          <cell r="B827" t="str">
            <v>CN53069010</v>
          </cell>
          <cell r="C827" t="str">
            <v/>
          </cell>
          <cell r="D827" t="str">
            <v/>
          </cell>
          <cell r="E827" t="e">
            <v>#VALUE!</v>
          </cell>
          <cell r="F827" t="str">
            <v/>
          </cell>
          <cell r="G827" t="str">
            <v/>
          </cell>
          <cell r="H827" t="str">
            <v/>
          </cell>
          <cell r="I827" t="str">
            <v/>
          </cell>
          <cell r="J827" t="str">
            <v/>
          </cell>
        </row>
        <row r="828">
          <cell r="B828" t="str">
            <v>CN53069011</v>
          </cell>
          <cell r="C828" t="str">
            <v/>
          </cell>
          <cell r="D828" t="str">
            <v/>
          </cell>
          <cell r="E828" t="e">
            <v>#VALUE!</v>
          </cell>
          <cell r="F828" t="str">
            <v/>
          </cell>
          <cell r="G828" t="str">
            <v/>
          </cell>
          <cell r="H828" t="str">
            <v/>
          </cell>
          <cell r="I828" t="str">
            <v/>
          </cell>
          <cell r="J828" t="str">
            <v/>
          </cell>
        </row>
        <row r="829">
          <cell r="B829" t="str">
            <v>CN53069012</v>
          </cell>
          <cell r="C829" t="str">
            <v/>
          </cell>
          <cell r="D829" t="str">
            <v/>
          </cell>
          <cell r="E829" t="e">
            <v>#VALUE!</v>
          </cell>
          <cell r="F829" t="str">
            <v/>
          </cell>
          <cell r="G829" t="str">
            <v/>
          </cell>
          <cell r="H829" t="str">
            <v/>
          </cell>
          <cell r="I829" t="str">
            <v/>
          </cell>
          <cell r="J829" t="str">
            <v/>
          </cell>
        </row>
        <row r="830">
          <cell r="B830" t="str">
            <v>CN5306501</v>
          </cell>
          <cell r="C830">
            <v>15790</v>
          </cell>
          <cell r="D830">
            <v>2470</v>
          </cell>
          <cell r="E830">
            <v>18260</v>
          </cell>
          <cell r="F830">
            <v>13.5</v>
          </cell>
          <cell r="G830">
            <v>18260</v>
          </cell>
          <cell r="H830">
            <v>15790</v>
          </cell>
          <cell r="I830">
            <v>2470</v>
          </cell>
          <cell r="J830">
            <v>13.5</v>
          </cell>
        </row>
        <row r="831">
          <cell r="B831" t="str">
            <v>CN5306502</v>
          </cell>
          <cell r="C831">
            <v>15830</v>
          </cell>
          <cell r="D831">
            <v>2530</v>
          </cell>
          <cell r="E831">
            <v>18360</v>
          </cell>
          <cell r="F831">
            <v>13.8</v>
          </cell>
          <cell r="G831">
            <v>18310</v>
          </cell>
          <cell r="H831">
            <v>15810</v>
          </cell>
          <cell r="I831">
            <v>2500</v>
          </cell>
          <cell r="J831">
            <v>13.661814109742441</v>
          </cell>
        </row>
        <row r="832">
          <cell r="B832" t="str">
            <v>CN5306503</v>
          </cell>
          <cell r="C832">
            <v>15790</v>
          </cell>
          <cell r="D832">
            <v>2570</v>
          </cell>
          <cell r="E832">
            <v>18360</v>
          </cell>
          <cell r="F832">
            <v>14</v>
          </cell>
          <cell r="G832">
            <v>18320</v>
          </cell>
          <cell r="H832">
            <v>15800</v>
          </cell>
          <cell r="I832">
            <v>2520</v>
          </cell>
          <cell r="J832">
            <v>13.771648959394556</v>
          </cell>
        </row>
        <row r="833">
          <cell r="B833" t="str">
            <v>CN5306504</v>
          </cell>
          <cell r="C833">
            <v>16040</v>
          </cell>
          <cell r="D833">
            <v>2190</v>
          </cell>
          <cell r="E833">
            <v>18230</v>
          </cell>
          <cell r="F833">
            <v>12</v>
          </cell>
          <cell r="G833">
            <v>18300</v>
          </cell>
          <cell r="H833">
            <v>15860</v>
          </cell>
          <cell r="I833">
            <v>2440</v>
          </cell>
          <cell r="J833">
            <v>13.336976569437804</v>
          </cell>
        </row>
        <row r="834">
          <cell r="B834" t="str">
            <v>CN5306505</v>
          </cell>
          <cell r="C834">
            <v>16090</v>
          </cell>
          <cell r="D834">
            <v>2080</v>
          </cell>
          <cell r="E834">
            <v>18170</v>
          </cell>
          <cell r="F834">
            <v>11.4</v>
          </cell>
          <cell r="G834">
            <v>18270</v>
          </cell>
          <cell r="H834">
            <v>15910</v>
          </cell>
          <cell r="I834">
            <v>2370</v>
          </cell>
          <cell r="J834">
            <v>12.956821539977014</v>
          </cell>
        </row>
        <row r="835">
          <cell r="B835" t="str">
            <v>CN5306506</v>
          </cell>
          <cell r="C835">
            <v>16150</v>
          </cell>
          <cell r="D835">
            <v>2060</v>
          </cell>
          <cell r="E835">
            <v>18210</v>
          </cell>
          <cell r="F835">
            <v>11.3</v>
          </cell>
          <cell r="G835">
            <v>18260</v>
          </cell>
          <cell r="H835">
            <v>15950</v>
          </cell>
          <cell r="I835">
            <v>2320</v>
          </cell>
          <cell r="J835">
            <v>12.685259545885957</v>
          </cell>
        </row>
        <row r="836">
          <cell r="B836" t="str">
            <v>CN5306507</v>
          </cell>
          <cell r="C836">
            <v>15820</v>
          </cell>
          <cell r="D836">
            <v>1990</v>
          </cell>
          <cell r="E836">
            <v>17810</v>
          </cell>
          <cell r="F836">
            <v>11.2</v>
          </cell>
          <cell r="G836">
            <v>18200</v>
          </cell>
          <cell r="H836">
            <v>15930</v>
          </cell>
          <cell r="I836">
            <v>2270</v>
          </cell>
          <cell r="J836">
            <v>12.475861527592434</v>
          </cell>
        </row>
        <row r="837">
          <cell r="B837" t="str">
            <v>CN5306508</v>
          </cell>
          <cell r="C837" t="str">
            <v/>
          </cell>
          <cell r="D837" t="str">
            <v/>
          </cell>
          <cell r="E837" t="e">
            <v>#VALUE!</v>
          </cell>
          <cell r="F837" t="str">
            <v/>
          </cell>
          <cell r="G837" t="str">
            <v/>
          </cell>
          <cell r="H837" t="str">
            <v/>
          </cell>
          <cell r="I837" t="str">
            <v/>
          </cell>
          <cell r="J837" t="str">
            <v/>
          </cell>
        </row>
        <row r="838">
          <cell r="B838" t="str">
            <v>CN5306509</v>
          </cell>
          <cell r="C838" t="str">
            <v/>
          </cell>
          <cell r="D838" t="str">
            <v/>
          </cell>
          <cell r="E838" t="e">
            <v>#VALUE!</v>
          </cell>
          <cell r="F838" t="str">
            <v/>
          </cell>
          <cell r="G838" t="str">
            <v/>
          </cell>
          <cell r="H838" t="str">
            <v/>
          </cell>
          <cell r="I838" t="str">
            <v/>
          </cell>
          <cell r="J838" t="str">
            <v/>
          </cell>
        </row>
        <row r="839">
          <cell r="B839" t="str">
            <v>CN53065010</v>
          </cell>
          <cell r="C839" t="str">
            <v/>
          </cell>
          <cell r="D839" t="str">
            <v/>
          </cell>
          <cell r="E839" t="e">
            <v>#VALUE!</v>
          </cell>
          <cell r="F839" t="str">
            <v/>
          </cell>
          <cell r="G839" t="str">
            <v/>
          </cell>
          <cell r="H839" t="str">
            <v/>
          </cell>
          <cell r="I839" t="str">
            <v/>
          </cell>
          <cell r="J839" t="str">
            <v/>
          </cell>
        </row>
        <row r="840">
          <cell r="B840" t="str">
            <v>CN53065011</v>
          </cell>
          <cell r="C840" t="str">
            <v/>
          </cell>
          <cell r="D840" t="str">
            <v/>
          </cell>
          <cell r="E840" t="e">
            <v>#VALUE!</v>
          </cell>
          <cell r="F840" t="str">
            <v/>
          </cell>
          <cell r="G840" t="str">
            <v/>
          </cell>
          <cell r="H840" t="str">
            <v/>
          </cell>
          <cell r="I840" t="str">
            <v/>
          </cell>
          <cell r="J840" t="str">
            <v/>
          </cell>
        </row>
        <row r="841">
          <cell r="B841" t="str">
            <v>CN53065012</v>
          </cell>
          <cell r="C841" t="str">
            <v/>
          </cell>
          <cell r="D841" t="str">
            <v/>
          </cell>
          <cell r="E841" t="e">
            <v>#VALUE!</v>
          </cell>
          <cell r="F841" t="str">
            <v/>
          </cell>
          <cell r="G841" t="str">
            <v/>
          </cell>
          <cell r="H841" t="str">
            <v/>
          </cell>
          <cell r="I841" t="str">
            <v/>
          </cell>
          <cell r="J841" t="str">
            <v/>
          </cell>
        </row>
        <row r="842">
          <cell r="B842" t="str">
            <v>CN5305901</v>
          </cell>
          <cell r="C842">
            <v>4440</v>
          </cell>
          <cell r="D842">
            <v>780</v>
          </cell>
          <cell r="E842">
            <v>5220</v>
          </cell>
          <cell r="F842">
            <v>15</v>
          </cell>
          <cell r="G842">
            <v>5220</v>
          </cell>
          <cell r="H842">
            <v>4440</v>
          </cell>
          <cell r="I842">
            <v>780</v>
          </cell>
          <cell r="J842">
            <v>15</v>
          </cell>
        </row>
        <row r="843">
          <cell r="B843" t="str">
            <v>CN5305902</v>
          </cell>
          <cell r="C843">
            <v>4450</v>
          </cell>
          <cell r="D843">
            <v>770</v>
          </cell>
          <cell r="E843">
            <v>5220</v>
          </cell>
          <cell r="F843">
            <v>14.7</v>
          </cell>
          <cell r="G843">
            <v>5220</v>
          </cell>
          <cell r="H843">
            <v>4450</v>
          </cell>
          <cell r="I843">
            <v>770</v>
          </cell>
          <cell r="J843">
            <v>14.82226693494299</v>
          </cell>
        </row>
        <row r="844">
          <cell r="B844" t="str">
            <v>CN5305903</v>
          </cell>
          <cell r="C844">
            <v>4440</v>
          </cell>
          <cell r="D844">
            <v>760</v>
          </cell>
          <cell r="E844">
            <v>5200</v>
          </cell>
          <cell r="F844">
            <v>14.7</v>
          </cell>
          <cell r="G844">
            <v>5210</v>
          </cell>
          <cell r="H844">
            <v>4440</v>
          </cell>
          <cell r="I844">
            <v>770</v>
          </cell>
          <cell r="J844">
            <v>14.774325533819205</v>
          </cell>
        </row>
        <row r="845">
          <cell r="B845" t="str">
            <v>CN5305904</v>
          </cell>
          <cell r="C845">
            <v>4440</v>
          </cell>
          <cell r="D845">
            <v>680</v>
          </cell>
          <cell r="E845">
            <v>5120</v>
          </cell>
          <cell r="F845">
            <v>13.3</v>
          </cell>
          <cell r="G845">
            <v>5190</v>
          </cell>
          <cell r="H845">
            <v>4440</v>
          </cell>
          <cell r="I845">
            <v>750</v>
          </cell>
          <cell r="J845">
            <v>14.421919391342033</v>
          </cell>
        </row>
        <row r="846">
          <cell r="B846" t="str">
            <v>CN5305905</v>
          </cell>
          <cell r="C846">
            <v>4450</v>
          </cell>
          <cell r="D846">
            <v>650</v>
          </cell>
          <cell r="E846">
            <v>5100</v>
          </cell>
          <cell r="F846">
            <v>12.7</v>
          </cell>
          <cell r="G846">
            <v>5170</v>
          </cell>
          <cell r="H846">
            <v>4440</v>
          </cell>
          <cell r="I846">
            <v>730</v>
          </cell>
          <cell r="J846">
            <v>14.090223820016234</v>
          </cell>
        </row>
        <row r="847">
          <cell r="B847" t="str">
            <v>CN5305906</v>
          </cell>
          <cell r="C847">
            <v>4390</v>
          </cell>
          <cell r="D847">
            <v>620</v>
          </cell>
          <cell r="E847">
            <v>5010</v>
          </cell>
          <cell r="F847">
            <v>12.4</v>
          </cell>
          <cell r="G847">
            <v>5150</v>
          </cell>
          <cell r="H847">
            <v>4440</v>
          </cell>
          <cell r="I847">
            <v>710</v>
          </cell>
          <cell r="J847">
            <v>13.816556548775749</v>
          </cell>
        </row>
        <row r="848">
          <cell r="B848" t="str">
            <v>CN5305907</v>
          </cell>
          <cell r="C848">
            <v>4290</v>
          </cell>
          <cell r="D848">
            <v>540</v>
          </cell>
          <cell r="E848">
            <v>4830</v>
          </cell>
          <cell r="F848">
            <v>11.2</v>
          </cell>
          <cell r="G848">
            <v>5100</v>
          </cell>
          <cell r="H848">
            <v>4410</v>
          </cell>
          <cell r="I848">
            <v>690</v>
          </cell>
          <cell r="J848">
            <v>13.468862007168457</v>
          </cell>
        </row>
        <row r="849">
          <cell r="B849" t="str">
            <v>CN5305908</v>
          </cell>
          <cell r="C849" t="str">
            <v/>
          </cell>
          <cell r="D849" t="str">
            <v/>
          </cell>
          <cell r="E849" t="e">
            <v>#VALUE!</v>
          </cell>
          <cell r="F849" t="str">
            <v/>
          </cell>
          <cell r="G849" t="str">
            <v/>
          </cell>
          <cell r="H849" t="str">
            <v/>
          </cell>
          <cell r="I849" t="str">
            <v/>
          </cell>
          <cell r="J849" t="str">
            <v/>
          </cell>
        </row>
        <row r="850">
          <cell r="B850" t="str">
            <v>CN5305909</v>
          </cell>
          <cell r="C850" t="str">
            <v/>
          </cell>
          <cell r="D850" t="str">
            <v/>
          </cell>
          <cell r="E850" t="e">
            <v>#VALUE!</v>
          </cell>
          <cell r="F850" t="str">
            <v/>
          </cell>
          <cell r="G850" t="str">
            <v/>
          </cell>
          <cell r="H850" t="str">
            <v/>
          </cell>
          <cell r="I850" t="str">
            <v/>
          </cell>
          <cell r="J850" t="str">
            <v/>
          </cell>
        </row>
        <row r="851">
          <cell r="B851" t="str">
            <v>CN53059010</v>
          </cell>
          <cell r="C851" t="str">
            <v/>
          </cell>
          <cell r="D851" t="str">
            <v/>
          </cell>
          <cell r="E851" t="e">
            <v>#VALUE!</v>
          </cell>
          <cell r="F851" t="str">
            <v/>
          </cell>
          <cell r="G851" t="str">
            <v/>
          </cell>
          <cell r="H851" t="str">
            <v/>
          </cell>
          <cell r="I851" t="str">
            <v/>
          </cell>
          <cell r="J851" t="str">
            <v/>
          </cell>
        </row>
        <row r="852">
          <cell r="B852" t="str">
            <v>CN53059011</v>
          </cell>
          <cell r="C852" t="str">
            <v/>
          </cell>
          <cell r="D852" t="str">
            <v/>
          </cell>
          <cell r="E852" t="e">
            <v>#VALUE!</v>
          </cell>
          <cell r="F852" t="str">
            <v/>
          </cell>
          <cell r="G852" t="str">
            <v/>
          </cell>
          <cell r="H852" t="str">
            <v/>
          </cell>
          <cell r="I852" t="str">
            <v/>
          </cell>
          <cell r="J852" t="str">
            <v/>
          </cell>
        </row>
        <row r="853">
          <cell r="B853" t="str">
            <v>CN53059012</v>
          </cell>
          <cell r="C853" t="str">
            <v/>
          </cell>
          <cell r="D853" t="str">
            <v/>
          </cell>
          <cell r="E853" t="e">
            <v>#VALUE!</v>
          </cell>
          <cell r="F853" t="str">
            <v/>
          </cell>
          <cell r="G853" t="str">
            <v/>
          </cell>
          <cell r="H853" t="str">
            <v/>
          </cell>
          <cell r="I853" t="str">
            <v/>
          </cell>
          <cell r="J853" t="str">
            <v/>
          </cell>
        </row>
        <row r="854">
          <cell r="B854" t="str">
            <v>CN5305501</v>
          </cell>
          <cell r="C854">
            <v>6900</v>
          </cell>
          <cell r="D854">
            <v>690</v>
          </cell>
          <cell r="E854">
            <v>7590</v>
          </cell>
          <cell r="F854">
            <v>9.1</v>
          </cell>
          <cell r="G854">
            <v>7600</v>
          </cell>
          <cell r="H854">
            <v>6900</v>
          </cell>
          <cell r="I854">
            <v>690</v>
          </cell>
          <cell r="J854">
            <v>9.1</v>
          </cell>
        </row>
        <row r="855">
          <cell r="B855" t="str">
            <v>CN5305502</v>
          </cell>
          <cell r="C855">
            <v>6930</v>
          </cell>
          <cell r="D855">
            <v>650</v>
          </cell>
          <cell r="E855">
            <v>7580</v>
          </cell>
          <cell r="F855">
            <v>8.6</v>
          </cell>
          <cell r="G855">
            <v>7590</v>
          </cell>
          <cell r="H855">
            <v>6920</v>
          </cell>
          <cell r="I855">
            <v>670</v>
          </cell>
          <cell r="J855">
            <v>8.8512489290186522</v>
          </cell>
        </row>
        <row r="856">
          <cell r="B856" t="str">
            <v>CN5305503</v>
          </cell>
          <cell r="C856">
            <v>7060</v>
          </cell>
          <cell r="D856">
            <v>640</v>
          </cell>
          <cell r="E856">
            <v>7700</v>
          </cell>
          <cell r="F856">
            <v>8.3000000000000007</v>
          </cell>
          <cell r="G856">
            <v>7620</v>
          </cell>
          <cell r="H856">
            <v>6960</v>
          </cell>
          <cell r="I856">
            <v>660</v>
          </cell>
          <cell r="J856">
            <v>8.6635178868188589</v>
          </cell>
        </row>
        <row r="857">
          <cell r="B857" t="str">
            <v>CN5305504</v>
          </cell>
          <cell r="C857">
            <v>7260</v>
          </cell>
          <cell r="D857">
            <v>560</v>
          </cell>
          <cell r="E857">
            <v>7820</v>
          </cell>
          <cell r="F857">
            <v>7.2</v>
          </cell>
          <cell r="G857">
            <v>7670</v>
          </cell>
          <cell r="H857">
            <v>7040</v>
          </cell>
          <cell r="I857">
            <v>640</v>
          </cell>
          <cell r="J857">
            <v>8.2855467222729047</v>
          </cell>
        </row>
        <row r="858">
          <cell r="B858" t="str">
            <v>CN5305505</v>
          </cell>
          <cell r="C858">
            <v>7670</v>
          </cell>
          <cell r="D858">
            <v>550</v>
          </cell>
          <cell r="E858">
            <v>8220</v>
          </cell>
          <cell r="F858">
            <v>6.7</v>
          </cell>
          <cell r="G858">
            <v>7780</v>
          </cell>
          <cell r="H858">
            <v>7160</v>
          </cell>
          <cell r="I858">
            <v>620</v>
          </cell>
          <cell r="J858">
            <v>7.9564144736842115</v>
          </cell>
        </row>
        <row r="859">
          <cell r="B859" t="str">
            <v>CN5305506</v>
          </cell>
          <cell r="C859">
            <v>7730</v>
          </cell>
          <cell r="D859">
            <v>540</v>
          </cell>
          <cell r="E859">
            <v>8270</v>
          </cell>
          <cell r="F859">
            <v>6.6</v>
          </cell>
          <cell r="G859">
            <v>7870</v>
          </cell>
          <cell r="H859">
            <v>7260</v>
          </cell>
          <cell r="I859">
            <v>610</v>
          </cell>
          <cell r="J859">
            <v>7.7134986225895306</v>
          </cell>
        </row>
        <row r="860">
          <cell r="B860" t="str">
            <v>CN5305507</v>
          </cell>
          <cell r="C860">
            <v>8180</v>
          </cell>
          <cell r="D860">
            <v>490</v>
          </cell>
          <cell r="E860">
            <v>8670</v>
          </cell>
          <cell r="F860">
            <v>5.7</v>
          </cell>
          <cell r="G860">
            <v>7980</v>
          </cell>
          <cell r="H860">
            <v>7390</v>
          </cell>
          <cell r="I860">
            <v>590</v>
          </cell>
          <cell r="J860">
            <v>7.3936160690309531</v>
          </cell>
        </row>
        <row r="861">
          <cell r="B861" t="str">
            <v>CN5305508</v>
          </cell>
          <cell r="C861" t="str">
            <v/>
          </cell>
          <cell r="D861" t="str">
            <v/>
          </cell>
          <cell r="E861" t="e">
            <v>#VALUE!</v>
          </cell>
          <cell r="F861" t="str">
            <v/>
          </cell>
          <cell r="G861" t="str">
            <v/>
          </cell>
          <cell r="H861" t="str">
            <v/>
          </cell>
          <cell r="I861" t="str">
            <v/>
          </cell>
          <cell r="J861" t="str">
            <v/>
          </cell>
        </row>
        <row r="862">
          <cell r="B862" t="str">
            <v>CN5305509</v>
          </cell>
          <cell r="C862" t="str">
            <v/>
          </cell>
          <cell r="D862" t="str">
            <v/>
          </cell>
          <cell r="E862" t="e">
            <v>#VALUE!</v>
          </cell>
          <cell r="F862" t="str">
            <v/>
          </cell>
          <cell r="G862" t="str">
            <v/>
          </cell>
          <cell r="H862" t="str">
            <v/>
          </cell>
          <cell r="I862" t="str">
            <v/>
          </cell>
          <cell r="J862" t="str">
            <v/>
          </cell>
        </row>
        <row r="863">
          <cell r="B863" t="str">
            <v>CN53055010</v>
          </cell>
          <cell r="C863" t="str">
            <v/>
          </cell>
          <cell r="D863" t="str">
            <v/>
          </cell>
          <cell r="E863" t="e">
            <v>#VALUE!</v>
          </cell>
          <cell r="F863" t="str">
            <v/>
          </cell>
          <cell r="G863" t="str">
            <v/>
          </cell>
          <cell r="H863" t="str">
            <v/>
          </cell>
          <cell r="I863" t="str">
            <v/>
          </cell>
          <cell r="J863" t="str">
            <v/>
          </cell>
        </row>
        <row r="864">
          <cell r="B864" t="str">
            <v>CN53055011</v>
          </cell>
          <cell r="C864" t="str">
            <v/>
          </cell>
          <cell r="D864" t="str">
            <v/>
          </cell>
          <cell r="E864" t="e">
            <v>#VALUE!</v>
          </cell>
          <cell r="F864" t="str">
            <v/>
          </cell>
          <cell r="G864" t="str">
            <v/>
          </cell>
          <cell r="H864" t="str">
            <v/>
          </cell>
          <cell r="I864" t="str">
            <v/>
          </cell>
          <cell r="J864" t="str">
            <v/>
          </cell>
        </row>
        <row r="865">
          <cell r="B865" t="str">
            <v>CN53055012</v>
          </cell>
          <cell r="C865" t="str">
            <v/>
          </cell>
          <cell r="D865" t="str">
            <v/>
          </cell>
          <cell r="E865" t="e">
            <v>#VALUE!</v>
          </cell>
          <cell r="F865" t="str">
            <v/>
          </cell>
          <cell r="G865" t="str">
            <v/>
          </cell>
          <cell r="H865" t="str">
            <v/>
          </cell>
          <cell r="I865" t="str">
            <v/>
          </cell>
          <cell r="J865" t="str">
            <v/>
          </cell>
        </row>
        <row r="866">
          <cell r="B866" t="str">
            <v>CN5305101</v>
          </cell>
          <cell r="C866">
            <v>4550</v>
          </cell>
          <cell r="D866">
            <v>770</v>
          </cell>
          <cell r="E866">
            <v>5320</v>
          </cell>
          <cell r="F866">
            <v>14.5</v>
          </cell>
          <cell r="G866">
            <v>5330</v>
          </cell>
          <cell r="H866">
            <v>4550</v>
          </cell>
          <cell r="I866">
            <v>770</v>
          </cell>
          <cell r="J866">
            <v>14.5</v>
          </cell>
        </row>
        <row r="867">
          <cell r="B867" t="str">
            <v>CN5305102</v>
          </cell>
          <cell r="C867">
            <v>4550</v>
          </cell>
          <cell r="D867">
            <v>780</v>
          </cell>
          <cell r="E867">
            <v>5330</v>
          </cell>
          <cell r="F867">
            <v>14.6</v>
          </cell>
          <cell r="G867">
            <v>5330</v>
          </cell>
          <cell r="H867">
            <v>4550</v>
          </cell>
          <cell r="I867">
            <v>780</v>
          </cell>
          <cell r="J867">
            <v>14.55927907631653</v>
          </cell>
        </row>
        <row r="868">
          <cell r="B868" t="str">
            <v>CN5305103</v>
          </cell>
          <cell r="C868">
            <v>4530</v>
          </cell>
          <cell r="D868">
            <v>760</v>
          </cell>
          <cell r="E868">
            <v>5290</v>
          </cell>
          <cell r="F868">
            <v>14.4</v>
          </cell>
          <cell r="G868">
            <v>5320</v>
          </cell>
          <cell r="H868">
            <v>4540</v>
          </cell>
          <cell r="I868">
            <v>770</v>
          </cell>
          <cell r="J868">
            <v>14.509656383245547</v>
          </cell>
        </row>
        <row r="869">
          <cell r="B869" t="str">
            <v>CN5305104</v>
          </cell>
          <cell r="C869">
            <v>4520</v>
          </cell>
          <cell r="D869">
            <v>670</v>
          </cell>
          <cell r="E869">
            <v>5190</v>
          </cell>
          <cell r="F869">
            <v>12.9</v>
          </cell>
          <cell r="G869">
            <v>5290</v>
          </cell>
          <cell r="H869">
            <v>4540</v>
          </cell>
          <cell r="I869">
            <v>750</v>
          </cell>
          <cell r="J869">
            <v>14.122209610291335</v>
          </cell>
        </row>
        <row r="870">
          <cell r="B870" t="str">
            <v>CN5305105</v>
          </cell>
          <cell r="C870">
            <v>4640</v>
          </cell>
          <cell r="D870">
            <v>650</v>
          </cell>
          <cell r="E870">
            <v>5290</v>
          </cell>
          <cell r="F870">
            <v>12.2</v>
          </cell>
          <cell r="G870">
            <v>5290</v>
          </cell>
          <cell r="H870">
            <v>4560</v>
          </cell>
          <cell r="I870">
            <v>730</v>
          </cell>
          <cell r="J870">
            <v>13.747303893745036</v>
          </cell>
        </row>
        <row r="871">
          <cell r="B871" t="str">
            <v>CN5305106</v>
          </cell>
          <cell r="C871">
            <v>4700</v>
          </cell>
          <cell r="D871">
            <v>650</v>
          </cell>
          <cell r="E871">
            <v>5350</v>
          </cell>
          <cell r="F871">
            <v>12.1</v>
          </cell>
          <cell r="G871">
            <v>5300</v>
          </cell>
          <cell r="H871">
            <v>4580</v>
          </cell>
          <cell r="I871">
            <v>710</v>
          </cell>
          <cell r="J871">
            <v>13.46468588694448</v>
          </cell>
        </row>
        <row r="872">
          <cell r="B872" t="str">
            <v>CN5305107</v>
          </cell>
          <cell r="C872">
            <v>4580</v>
          </cell>
          <cell r="D872">
            <v>600</v>
          </cell>
          <cell r="E872">
            <v>5180</v>
          </cell>
          <cell r="F872">
            <v>11.6</v>
          </cell>
          <cell r="G872">
            <v>5280</v>
          </cell>
          <cell r="H872">
            <v>4580</v>
          </cell>
          <cell r="I872">
            <v>700</v>
          </cell>
          <cell r="J872">
            <v>13.205249627925856</v>
          </cell>
        </row>
        <row r="873">
          <cell r="B873" t="str">
            <v>CN5305108</v>
          </cell>
          <cell r="C873" t="str">
            <v/>
          </cell>
          <cell r="D873" t="str">
            <v/>
          </cell>
          <cell r="E873" t="e">
            <v>#VALUE!</v>
          </cell>
          <cell r="F873" t="str">
            <v/>
          </cell>
          <cell r="G873" t="str">
            <v/>
          </cell>
          <cell r="H873" t="str">
            <v/>
          </cell>
          <cell r="I873" t="str">
            <v/>
          </cell>
          <cell r="J873" t="str">
            <v/>
          </cell>
        </row>
        <row r="874">
          <cell r="B874" t="str">
            <v>CN5305109</v>
          </cell>
          <cell r="C874" t="str">
            <v/>
          </cell>
          <cell r="D874" t="str">
            <v/>
          </cell>
          <cell r="E874" t="e">
            <v>#VALUE!</v>
          </cell>
          <cell r="F874" t="str">
            <v/>
          </cell>
          <cell r="G874" t="str">
            <v/>
          </cell>
          <cell r="H874" t="str">
            <v/>
          </cell>
          <cell r="I874" t="str">
            <v/>
          </cell>
          <cell r="J874" t="str">
            <v/>
          </cell>
        </row>
        <row r="875">
          <cell r="B875" t="str">
            <v>CN53051010</v>
          </cell>
          <cell r="C875" t="str">
            <v/>
          </cell>
          <cell r="D875" t="str">
            <v/>
          </cell>
          <cell r="E875" t="e">
            <v>#VALUE!</v>
          </cell>
          <cell r="F875" t="str">
            <v/>
          </cell>
          <cell r="G875" t="str">
            <v/>
          </cell>
          <cell r="H875" t="str">
            <v/>
          </cell>
          <cell r="I875" t="str">
            <v/>
          </cell>
          <cell r="J875" t="str">
            <v/>
          </cell>
        </row>
        <row r="876">
          <cell r="B876" t="str">
            <v>CN53051011</v>
          </cell>
          <cell r="C876" t="str">
            <v/>
          </cell>
          <cell r="D876" t="str">
            <v/>
          </cell>
          <cell r="E876" t="e">
            <v>#VALUE!</v>
          </cell>
          <cell r="F876" t="str">
            <v/>
          </cell>
          <cell r="G876" t="str">
            <v/>
          </cell>
          <cell r="H876" t="str">
            <v/>
          </cell>
          <cell r="I876" t="str">
            <v/>
          </cell>
          <cell r="J876" t="str">
            <v/>
          </cell>
        </row>
        <row r="877">
          <cell r="B877" t="str">
            <v>CN53051012</v>
          </cell>
          <cell r="C877" t="str">
            <v/>
          </cell>
          <cell r="D877" t="str">
            <v/>
          </cell>
          <cell r="E877" t="e">
            <v>#VALUE!</v>
          </cell>
          <cell r="F877" t="str">
            <v/>
          </cell>
          <cell r="G877" t="str">
            <v/>
          </cell>
          <cell r="H877" t="str">
            <v/>
          </cell>
          <cell r="I877" t="str">
            <v/>
          </cell>
          <cell r="J877" t="str">
            <v/>
          </cell>
        </row>
        <row r="878">
          <cell r="B878" t="str">
            <v>CN5304901</v>
          </cell>
          <cell r="C878">
            <v>7670</v>
          </cell>
          <cell r="D878">
            <v>1220</v>
          </cell>
          <cell r="E878">
            <v>8890</v>
          </cell>
          <cell r="F878">
            <v>13.7</v>
          </cell>
          <cell r="G878">
            <v>8890</v>
          </cell>
          <cell r="H878">
            <v>7670</v>
          </cell>
          <cell r="I878">
            <v>1220</v>
          </cell>
          <cell r="J878">
            <v>13.7</v>
          </cell>
        </row>
        <row r="879">
          <cell r="B879" t="str">
            <v>CN5304902</v>
          </cell>
          <cell r="C879">
            <v>7590</v>
          </cell>
          <cell r="D879">
            <v>1200</v>
          </cell>
          <cell r="E879">
            <v>8790</v>
          </cell>
          <cell r="F879">
            <v>13.6</v>
          </cell>
          <cell r="G879">
            <v>8840</v>
          </cell>
          <cell r="H879">
            <v>7630</v>
          </cell>
          <cell r="I879">
            <v>1210</v>
          </cell>
          <cell r="J879">
            <v>13.683674623826224</v>
          </cell>
        </row>
        <row r="880">
          <cell r="B880" t="str">
            <v>CN5304903</v>
          </cell>
          <cell r="C880">
            <v>7550</v>
          </cell>
          <cell r="D880">
            <v>1230</v>
          </cell>
          <cell r="E880">
            <v>8780</v>
          </cell>
          <cell r="F880">
            <v>14</v>
          </cell>
          <cell r="G880">
            <v>8820</v>
          </cell>
          <cell r="H880">
            <v>7600</v>
          </cell>
          <cell r="I880">
            <v>1220</v>
          </cell>
          <cell r="J880">
            <v>13.795449391488395</v>
          </cell>
        </row>
        <row r="881">
          <cell r="B881" t="str">
            <v>CN5304904</v>
          </cell>
          <cell r="C881">
            <v>7660</v>
          </cell>
          <cell r="D881">
            <v>1110</v>
          </cell>
          <cell r="E881">
            <v>8770</v>
          </cell>
          <cell r="F881">
            <v>12.7</v>
          </cell>
          <cell r="G881">
            <v>8810</v>
          </cell>
          <cell r="H881">
            <v>7620</v>
          </cell>
          <cell r="I881">
            <v>1190</v>
          </cell>
          <cell r="J881">
            <v>13.521030822500993</v>
          </cell>
        </row>
        <row r="882">
          <cell r="B882" t="str">
            <v>CN5304905</v>
          </cell>
          <cell r="C882">
            <v>7850</v>
          </cell>
          <cell r="D882">
            <v>1090</v>
          </cell>
          <cell r="E882">
            <v>8940</v>
          </cell>
          <cell r="F882">
            <v>12.2</v>
          </cell>
          <cell r="G882">
            <v>8840</v>
          </cell>
          <cell r="H882">
            <v>7660</v>
          </cell>
          <cell r="I882">
            <v>1170</v>
          </cell>
          <cell r="J882">
            <v>13.257730091900946</v>
          </cell>
        </row>
        <row r="883">
          <cell r="B883" t="str">
            <v>CN5304906</v>
          </cell>
          <cell r="C883">
            <v>7940</v>
          </cell>
          <cell r="D883">
            <v>1060</v>
          </cell>
          <cell r="E883">
            <v>9000</v>
          </cell>
          <cell r="F883">
            <v>11.8</v>
          </cell>
          <cell r="G883">
            <v>8860</v>
          </cell>
          <cell r="H883">
            <v>7710</v>
          </cell>
          <cell r="I883">
            <v>1150</v>
          </cell>
          <cell r="J883">
            <v>13.014535813008896</v>
          </cell>
        </row>
        <row r="884">
          <cell r="B884" t="str">
            <v>CN5304907</v>
          </cell>
          <cell r="C884">
            <v>7940</v>
          </cell>
          <cell r="D884">
            <v>960</v>
          </cell>
          <cell r="E884">
            <v>8900</v>
          </cell>
          <cell r="F884">
            <v>10.7</v>
          </cell>
          <cell r="G884">
            <v>8870</v>
          </cell>
          <cell r="H884">
            <v>7740</v>
          </cell>
          <cell r="I884">
            <v>1130</v>
          </cell>
          <cell r="J884">
            <v>12.688670887095476</v>
          </cell>
        </row>
        <row r="885">
          <cell r="B885" t="str">
            <v>CN5304908</v>
          </cell>
          <cell r="C885" t="str">
            <v/>
          </cell>
          <cell r="D885" t="str">
            <v/>
          </cell>
          <cell r="E885" t="e">
            <v>#VALUE!</v>
          </cell>
          <cell r="F885" t="str">
            <v/>
          </cell>
          <cell r="G885" t="str">
            <v/>
          </cell>
          <cell r="H885" t="str">
            <v/>
          </cell>
          <cell r="I885" t="str">
            <v/>
          </cell>
          <cell r="J885" t="str">
            <v/>
          </cell>
        </row>
        <row r="886">
          <cell r="B886" t="str">
            <v>CN5304909</v>
          </cell>
          <cell r="C886" t="str">
            <v/>
          </cell>
          <cell r="D886" t="str">
            <v/>
          </cell>
          <cell r="E886" t="e">
            <v>#VALUE!</v>
          </cell>
          <cell r="F886" t="str">
            <v/>
          </cell>
          <cell r="G886" t="str">
            <v/>
          </cell>
          <cell r="H886" t="str">
            <v/>
          </cell>
          <cell r="I886" t="str">
            <v/>
          </cell>
          <cell r="J886" t="str">
            <v/>
          </cell>
        </row>
        <row r="887">
          <cell r="B887" t="str">
            <v>CN53049010</v>
          </cell>
          <cell r="C887" t="str">
            <v/>
          </cell>
          <cell r="D887" t="str">
            <v/>
          </cell>
          <cell r="E887" t="e">
            <v>#VALUE!</v>
          </cell>
          <cell r="F887" t="str">
            <v/>
          </cell>
          <cell r="G887" t="str">
            <v/>
          </cell>
          <cell r="H887" t="str">
            <v/>
          </cell>
          <cell r="I887" t="str">
            <v/>
          </cell>
          <cell r="J887" t="str">
            <v/>
          </cell>
        </row>
        <row r="888">
          <cell r="B888" t="str">
            <v>CN53049011</v>
          </cell>
          <cell r="C888" t="str">
            <v/>
          </cell>
          <cell r="D888" t="str">
            <v/>
          </cell>
          <cell r="E888" t="e">
            <v>#VALUE!</v>
          </cell>
          <cell r="F888" t="str">
            <v/>
          </cell>
          <cell r="G888" t="str">
            <v/>
          </cell>
          <cell r="H888" t="str">
            <v/>
          </cell>
          <cell r="I888" t="str">
            <v/>
          </cell>
          <cell r="J888" t="str">
            <v/>
          </cell>
        </row>
        <row r="889">
          <cell r="B889" t="str">
            <v>CN53049012</v>
          </cell>
          <cell r="C889" t="str">
            <v/>
          </cell>
          <cell r="D889" t="str">
            <v/>
          </cell>
          <cell r="E889" t="e">
            <v>#VALUE!</v>
          </cell>
          <cell r="F889" t="str">
            <v/>
          </cell>
          <cell r="G889" t="str">
            <v/>
          </cell>
          <cell r="H889" t="str">
            <v/>
          </cell>
          <cell r="I889" t="str">
            <v/>
          </cell>
          <cell r="J889" t="str">
            <v/>
          </cell>
        </row>
        <row r="890">
          <cell r="B890" t="str">
            <v>CN5304701</v>
          </cell>
          <cell r="C890">
            <v>16570</v>
          </cell>
          <cell r="D890">
            <v>2510</v>
          </cell>
          <cell r="E890">
            <v>19080</v>
          </cell>
          <cell r="F890">
            <v>13.1</v>
          </cell>
          <cell r="G890">
            <v>19080</v>
          </cell>
          <cell r="H890">
            <v>16570</v>
          </cell>
          <cell r="I890">
            <v>2510</v>
          </cell>
          <cell r="J890">
            <v>13.1</v>
          </cell>
        </row>
        <row r="891">
          <cell r="B891" t="str">
            <v>CN5304702</v>
          </cell>
          <cell r="C891">
            <v>16850</v>
          </cell>
          <cell r="D891">
            <v>2500</v>
          </cell>
          <cell r="E891">
            <v>19350</v>
          </cell>
          <cell r="F891">
            <v>12.9</v>
          </cell>
          <cell r="G891">
            <v>19210</v>
          </cell>
          <cell r="H891">
            <v>16710</v>
          </cell>
          <cell r="I891">
            <v>2500</v>
          </cell>
          <cell r="J891">
            <v>13.026052104208416</v>
          </cell>
        </row>
        <row r="892">
          <cell r="B892" t="str">
            <v>CN5304703</v>
          </cell>
          <cell r="C892">
            <v>17620</v>
          </cell>
          <cell r="D892">
            <v>2470</v>
          </cell>
          <cell r="E892">
            <v>20090</v>
          </cell>
          <cell r="F892">
            <v>12.3</v>
          </cell>
          <cell r="G892">
            <v>19510</v>
          </cell>
          <cell r="H892">
            <v>17010</v>
          </cell>
          <cell r="I892">
            <v>2490</v>
          </cell>
          <cell r="J892">
            <v>12.780246069719754</v>
          </cell>
        </row>
        <row r="893">
          <cell r="B893" t="str">
            <v>CN5304704</v>
          </cell>
          <cell r="C893">
            <v>17930</v>
          </cell>
          <cell r="D893">
            <v>2140</v>
          </cell>
          <cell r="E893">
            <v>20070</v>
          </cell>
          <cell r="F893">
            <v>10.7</v>
          </cell>
          <cell r="G893">
            <v>19650</v>
          </cell>
          <cell r="H893">
            <v>17240</v>
          </cell>
          <cell r="I893">
            <v>2410</v>
          </cell>
          <cell r="J893">
            <v>12.241210378306846</v>
          </cell>
        </row>
        <row r="894">
          <cell r="B894" t="str">
            <v>CN5304705</v>
          </cell>
          <cell r="C894">
            <v>18260</v>
          </cell>
          <cell r="D894">
            <v>2050</v>
          </cell>
          <cell r="E894">
            <v>20310</v>
          </cell>
          <cell r="F894">
            <v>10.1</v>
          </cell>
          <cell r="G894">
            <v>19780</v>
          </cell>
          <cell r="H894">
            <v>17450</v>
          </cell>
          <cell r="I894">
            <v>2330</v>
          </cell>
          <cell r="J894">
            <v>11.798905954559704</v>
          </cell>
        </row>
        <row r="895">
          <cell r="B895" t="str">
            <v>CN5304706</v>
          </cell>
          <cell r="C895">
            <v>20270</v>
          </cell>
          <cell r="D895">
            <v>2060</v>
          </cell>
          <cell r="E895">
            <v>22330</v>
          </cell>
          <cell r="F895">
            <v>9.1999999999999993</v>
          </cell>
          <cell r="G895">
            <v>20200</v>
          </cell>
          <cell r="H895">
            <v>17920</v>
          </cell>
          <cell r="I895">
            <v>2290</v>
          </cell>
          <cell r="J895">
            <v>11.326591216550632</v>
          </cell>
        </row>
        <row r="896">
          <cell r="B896" t="str">
            <v>CN5304707</v>
          </cell>
          <cell r="C896">
            <v>24700</v>
          </cell>
          <cell r="D896">
            <v>1990</v>
          </cell>
          <cell r="E896">
            <v>26690</v>
          </cell>
          <cell r="F896">
            <v>7.5</v>
          </cell>
          <cell r="G896">
            <v>21130</v>
          </cell>
          <cell r="H896">
            <v>18890</v>
          </cell>
          <cell r="I896">
            <v>2250</v>
          </cell>
          <cell r="J896">
            <v>10.630458884291933</v>
          </cell>
        </row>
        <row r="897">
          <cell r="B897" t="str">
            <v>CN5304708</v>
          </cell>
          <cell r="C897" t="str">
            <v/>
          </cell>
          <cell r="D897" t="str">
            <v/>
          </cell>
          <cell r="E897" t="e">
            <v>#VALUE!</v>
          </cell>
          <cell r="F897" t="str">
            <v/>
          </cell>
          <cell r="G897" t="str">
            <v/>
          </cell>
          <cell r="H897" t="str">
            <v/>
          </cell>
          <cell r="I897" t="str">
            <v/>
          </cell>
          <cell r="J897" t="str">
            <v/>
          </cell>
        </row>
        <row r="898">
          <cell r="B898" t="str">
            <v>CN5304709</v>
          </cell>
          <cell r="C898" t="str">
            <v/>
          </cell>
          <cell r="D898" t="str">
            <v/>
          </cell>
          <cell r="E898" t="e">
            <v>#VALUE!</v>
          </cell>
          <cell r="F898" t="str">
            <v/>
          </cell>
          <cell r="G898" t="str">
            <v/>
          </cell>
          <cell r="H898" t="str">
            <v/>
          </cell>
          <cell r="I898" t="str">
            <v/>
          </cell>
          <cell r="J898" t="str">
            <v/>
          </cell>
        </row>
        <row r="899">
          <cell r="B899" t="str">
            <v>CN53047010</v>
          </cell>
          <cell r="C899" t="str">
            <v/>
          </cell>
          <cell r="D899" t="str">
            <v/>
          </cell>
          <cell r="E899" t="e">
            <v>#VALUE!</v>
          </cell>
          <cell r="F899" t="str">
            <v/>
          </cell>
          <cell r="G899" t="str">
            <v/>
          </cell>
          <cell r="H899" t="str">
            <v/>
          </cell>
          <cell r="I899" t="str">
            <v/>
          </cell>
          <cell r="J899" t="str">
            <v/>
          </cell>
        </row>
        <row r="900">
          <cell r="B900" t="str">
            <v>CN53047011</v>
          </cell>
          <cell r="C900" t="str">
            <v/>
          </cell>
          <cell r="D900" t="str">
            <v/>
          </cell>
          <cell r="E900" t="e">
            <v>#VALUE!</v>
          </cell>
          <cell r="F900" t="str">
            <v/>
          </cell>
          <cell r="G900" t="str">
            <v/>
          </cell>
          <cell r="H900" t="str">
            <v/>
          </cell>
          <cell r="I900" t="str">
            <v/>
          </cell>
          <cell r="J900" t="str">
            <v/>
          </cell>
        </row>
        <row r="901">
          <cell r="B901" t="str">
            <v>CN53047012</v>
          </cell>
          <cell r="C901" t="str">
            <v/>
          </cell>
          <cell r="D901" t="str">
            <v/>
          </cell>
          <cell r="E901" t="e">
            <v>#VALUE!</v>
          </cell>
          <cell r="F901" t="str">
            <v/>
          </cell>
          <cell r="G901" t="str">
            <v/>
          </cell>
          <cell r="H901" t="str">
            <v/>
          </cell>
          <cell r="I901" t="str">
            <v/>
          </cell>
          <cell r="J901" t="str">
            <v/>
          </cell>
        </row>
        <row r="902">
          <cell r="B902" t="str">
            <v>CN5304301</v>
          </cell>
          <cell r="C902">
            <v>4290</v>
          </cell>
          <cell r="D902">
            <v>480</v>
          </cell>
          <cell r="E902">
            <v>4770</v>
          </cell>
          <cell r="F902">
            <v>10.1</v>
          </cell>
          <cell r="G902">
            <v>4770</v>
          </cell>
          <cell r="H902">
            <v>4290</v>
          </cell>
          <cell r="I902">
            <v>480</v>
          </cell>
          <cell r="J902">
            <v>10.1</v>
          </cell>
        </row>
        <row r="903">
          <cell r="B903" t="str">
            <v>CN5304302</v>
          </cell>
          <cell r="C903">
            <v>4360</v>
          </cell>
          <cell r="D903">
            <v>460</v>
          </cell>
          <cell r="E903">
            <v>4820</v>
          </cell>
          <cell r="F903">
            <v>9.6</v>
          </cell>
          <cell r="G903">
            <v>4800</v>
          </cell>
          <cell r="H903">
            <v>4320</v>
          </cell>
          <cell r="I903">
            <v>470</v>
          </cell>
          <cell r="J903">
            <v>9.8499061913696053</v>
          </cell>
        </row>
        <row r="904">
          <cell r="B904" t="str">
            <v>CN5304303</v>
          </cell>
          <cell r="C904">
            <v>4460</v>
          </cell>
          <cell r="D904">
            <v>470</v>
          </cell>
          <cell r="E904">
            <v>4930</v>
          </cell>
          <cell r="F904">
            <v>9.6</v>
          </cell>
          <cell r="G904">
            <v>4840</v>
          </cell>
          <cell r="H904">
            <v>4370</v>
          </cell>
          <cell r="I904">
            <v>470</v>
          </cell>
          <cell r="J904">
            <v>9.7653292959878879</v>
          </cell>
        </row>
        <row r="905">
          <cell r="B905" t="str">
            <v>CN5304304</v>
          </cell>
          <cell r="C905">
            <v>4470</v>
          </cell>
          <cell r="D905">
            <v>400</v>
          </cell>
          <cell r="E905">
            <v>4870</v>
          </cell>
          <cell r="F905">
            <v>8.1999999999999993</v>
          </cell>
          <cell r="G905">
            <v>4850</v>
          </cell>
          <cell r="H905">
            <v>4400</v>
          </cell>
          <cell r="I905">
            <v>450</v>
          </cell>
          <cell r="J905">
            <v>9.369685100242231</v>
          </cell>
        </row>
        <row r="906">
          <cell r="B906" t="str">
            <v>CN5304305</v>
          </cell>
          <cell r="C906">
            <v>4530</v>
          </cell>
          <cell r="D906">
            <v>400</v>
          </cell>
          <cell r="E906">
            <v>4930</v>
          </cell>
          <cell r="F906">
            <v>8.1</v>
          </cell>
          <cell r="G906">
            <v>4870</v>
          </cell>
          <cell r="H906">
            <v>4420</v>
          </cell>
          <cell r="I906">
            <v>440</v>
          </cell>
          <cell r="J906">
            <v>9.1110837134755265</v>
          </cell>
        </row>
        <row r="907">
          <cell r="B907" t="str">
            <v>CN5304306</v>
          </cell>
          <cell r="C907">
            <v>4420</v>
          </cell>
          <cell r="D907">
            <v>400</v>
          </cell>
          <cell r="E907">
            <v>4820</v>
          </cell>
          <cell r="F907">
            <v>8.1999999999999993</v>
          </cell>
          <cell r="G907">
            <v>4860</v>
          </cell>
          <cell r="H907">
            <v>4420</v>
          </cell>
          <cell r="I907">
            <v>440</v>
          </cell>
          <cell r="J907">
            <v>8.9649020482382404</v>
          </cell>
        </row>
        <row r="908">
          <cell r="B908" t="str">
            <v>CN5304307</v>
          </cell>
          <cell r="C908">
            <v>4340</v>
          </cell>
          <cell r="D908">
            <v>380</v>
          </cell>
          <cell r="E908">
            <v>4720</v>
          </cell>
          <cell r="F908">
            <v>8</v>
          </cell>
          <cell r="G908">
            <v>4840</v>
          </cell>
          <cell r="H908">
            <v>4410</v>
          </cell>
          <cell r="I908">
            <v>430</v>
          </cell>
          <cell r="J908">
            <v>8.8286532612867994</v>
          </cell>
        </row>
        <row r="909">
          <cell r="B909" t="str">
            <v>CN5304308</v>
          </cell>
          <cell r="C909" t="str">
            <v/>
          </cell>
          <cell r="D909" t="str">
            <v/>
          </cell>
          <cell r="E909" t="e">
            <v>#VALUE!</v>
          </cell>
          <cell r="F909" t="str">
            <v/>
          </cell>
          <cell r="G909" t="str">
            <v/>
          </cell>
          <cell r="H909" t="str">
            <v/>
          </cell>
          <cell r="I909" t="str">
            <v/>
          </cell>
          <cell r="J909" t="str">
            <v/>
          </cell>
        </row>
        <row r="910">
          <cell r="B910" t="str">
            <v>CN5304309</v>
          </cell>
          <cell r="C910" t="str">
            <v/>
          </cell>
          <cell r="D910" t="str">
            <v/>
          </cell>
          <cell r="E910" t="e">
            <v>#VALUE!</v>
          </cell>
          <cell r="F910" t="str">
            <v/>
          </cell>
          <cell r="G910" t="str">
            <v/>
          </cell>
          <cell r="H910" t="str">
            <v/>
          </cell>
          <cell r="I910" t="str">
            <v/>
          </cell>
          <cell r="J910" t="str">
            <v/>
          </cell>
        </row>
        <row r="911">
          <cell r="B911" t="str">
            <v>CN53043010</v>
          </cell>
          <cell r="C911" t="str">
            <v/>
          </cell>
          <cell r="D911" t="str">
            <v/>
          </cell>
          <cell r="E911" t="e">
            <v>#VALUE!</v>
          </cell>
          <cell r="F911" t="str">
            <v/>
          </cell>
          <cell r="G911" t="str">
            <v/>
          </cell>
          <cell r="H911" t="str">
            <v/>
          </cell>
          <cell r="I911" t="str">
            <v/>
          </cell>
          <cell r="J911" t="str">
            <v/>
          </cell>
        </row>
        <row r="912">
          <cell r="B912" t="str">
            <v>CN53043011</v>
          </cell>
          <cell r="C912" t="str">
            <v/>
          </cell>
          <cell r="D912" t="str">
            <v/>
          </cell>
          <cell r="E912" t="e">
            <v>#VALUE!</v>
          </cell>
          <cell r="F912" t="str">
            <v/>
          </cell>
          <cell r="G912" t="str">
            <v/>
          </cell>
          <cell r="H912" t="str">
            <v/>
          </cell>
          <cell r="I912" t="str">
            <v/>
          </cell>
          <cell r="J912" t="str">
            <v/>
          </cell>
        </row>
        <row r="913">
          <cell r="B913" t="str">
            <v>CN53043012</v>
          </cell>
          <cell r="C913" t="str">
            <v/>
          </cell>
          <cell r="D913" t="str">
            <v/>
          </cell>
          <cell r="E913" t="e">
            <v>#VALUE!</v>
          </cell>
          <cell r="F913" t="str">
            <v/>
          </cell>
          <cell r="G913" t="str">
            <v/>
          </cell>
          <cell r="H913" t="str">
            <v/>
          </cell>
          <cell r="I913" t="str">
            <v/>
          </cell>
          <cell r="J913" t="str">
            <v/>
          </cell>
        </row>
        <row r="914">
          <cell r="B914" t="str">
            <v>CN5303901</v>
          </cell>
          <cell r="C914">
            <v>9050</v>
          </cell>
          <cell r="D914">
            <v>1330</v>
          </cell>
          <cell r="E914">
            <v>10380</v>
          </cell>
          <cell r="F914">
            <v>12.8</v>
          </cell>
          <cell r="G914">
            <v>10380</v>
          </cell>
          <cell r="H914">
            <v>9050</v>
          </cell>
          <cell r="I914">
            <v>1330</v>
          </cell>
          <cell r="J914">
            <v>12.8</v>
          </cell>
        </row>
        <row r="915">
          <cell r="B915" t="str">
            <v>CN5303902</v>
          </cell>
          <cell r="C915">
            <v>9380</v>
          </cell>
          <cell r="D915">
            <v>1300</v>
          </cell>
          <cell r="E915">
            <v>10680</v>
          </cell>
          <cell r="F915">
            <v>12.2</v>
          </cell>
          <cell r="G915">
            <v>10530</v>
          </cell>
          <cell r="H915">
            <v>9210</v>
          </cell>
          <cell r="I915">
            <v>1320</v>
          </cell>
          <cell r="J915">
            <v>12.489908344018616</v>
          </cell>
        </row>
        <row r="916">
          <cell r="B916" t="str">
            <v>CN5303903</v>
          </cell>
          <cell r="C916">
            <v>9430</v>
          </cell>
          <cell r="D916">
            <v>1300</v>
          </cell>
          <cell r="E916">
            <v>10730</v>
          </cell>
          <cell r="F916">
            <v>12.1</v>
          </cell>
          <cell r="G916">
            <v>10590</v>
          </cell>
          <cell r="H916">
            <v>9280</v>
          </cell>
          <cell r="I916">
            <v>1310</v>
          </cell>
          <cell r="J916">
            <v>12.351312228585815</v>
          </cell>
        </row>
        <row r="917">
          <cell r="B917" t="str">
            <v>CN5303904</v>
          </cell>
          <cell r="C917">
            <v>9690</v>
          </cell>
          <cell r="D917">
            <v>1150</v>
          </cell>
          <cell r="E917">
            <v>10840</v>
          </cell>
          <cell r="F917">
            <v>10.6</v>
          </cell>
          <cell r="G917">
            <v>10660</v>
          </cell>
          <cell r="H917">
            <v>9390</v>
          </cell>
          <cell r="I917">
            <v>1270</v>
          </cell>
          <cell r="J917">
            <v>11.902862505865791</v>
          </cell>
        </row>
        <row r="918">
          <cell r="B918" t="str">
            <v>CN5303905</v>
          </cell>
          <cell r="C918">
            <v>9800</v>
          </cell>
          <cell r="D918">
            <v>1120</v>
          </cell>
          <cell r="E918">
            <v>10920</v>
          </cell>
          <cell r="F918">
            <v>10.199999999999999</v>
          </cell>
          <cell r="G918">
            <v>10710</v>
          </cell>
          <cell r="H918">
            <v>9470</v>
          </cell>
          <cell r="I918">
            <v>1240</v>
          </cell>
          <cell r="J918">
            <v>11.558793312786026</v>
          </cell>
        </row>
        <row r="919">
          <cell r="B919" t="str">
            <v>CN5303906</v>
          </cell>
          <cell r="C919">
            <v>10270</v>
          </cell>
          <cell r="D919">
            <v>1180</v>
          </cell>
          <cell r="E919">
            <v>11450</v>
          </cell>
          <cell r="F919">
            <v>10.3</v>
          </cell>
          <cell r="G919">
            <v>10830</v>
          </cell>
          <cell r="H919">
            <v>9600</v>
          </cell>
          <cell r="I919">
            <v>1230</v>
          </cell>
          <cell r="J919">
            <v>11.342759989537337</v>
          </cell>
        </row>
        <row r="920">
          <cell r="B920" t="str">
            <v>CN5303907</v>
          </cell>
          <cell r="C920">
            <v>10440</v>
          </cell>
          <cell r="D920">
            <v>970</v>
          </cell>
          <cell r="E920">
            <v>11410</v>
          </cell>
          <cell r="F920">
            <v>8.5</v>
          </cell>
          <cell r="G920">
            <v>10910</v>
          </cell>
          <cell r="H920">
            <v>9720</v>
          </cell>
          <cell r="I920">
            <v>1190</v>
          </cell>
          <cell r="J920">
            <v>10.921037132049788</v>
          </cell>
        </row>
        <row r="921">
          <cell r="B921" t="str">
            <v>CN5303908</v>
          </cell>
          <cell r="C921" t="str">
            <v/>
          </cell>
          <cell r="D921" t="str">
            <v/>
          </cell>
          <cell r="E921" t="e">
            <v>#VALUE!</v>
          </cell>
          <cell r="F921" t="str">
            <v/>
          </cell>
          <cell r="G921" t="str">
            <v/>
          </cell>
          <cell r="H921" t="str">
            <v/>
          </cell>
          <cell r="I921" t="str">
            <v/>
          </cell>
          <cell r="J921" t="str">
            <v/>
          </cell>
        </row>
        <row r="922">
          <cell r="B922" t="str">
            <v>CN5303909</v>
          </cell>
          <cell r="C922" t="str">
            <v/>
          </cell>
          <cell r="D922" t="str">
            <v/>
          </cell>
          <cell r="E922" t="e">
            <v>#VALUE!</v>
          </cell>
          <cell r="F922" t="str">
            <v/>
          </cell>
          <cell r="G922" t="str">
            <v/>
          </cell>
          <cell r="H922" t="str">
            <v/>
          </cell>
          <cell r="I922" t="str">
            <v/>
          </cell>
          <cell r="J922" t="str">
            <v/>
          </cell>
        </row>
        <row r="923">
          <cell r="B923" t="str">
            <v>CN53039010</v>
          </cell>
          <cell r="C923" t="str">
            <v/>
          </cell>
          <cell r="D923" t="str">
            <v/>
          </cell>
          <cell r="E923" t="e">
            <v>#VALUE!</v>
          </cell>
          <cell r="F923" t="str">
            <v/>
          </cell>
          <cell r="G923" t="str">
            <v/>
          </cell>
          <cell r="H923" t="str">
            <v/>
          </cell>
          <cell r="I923" t="str">
            <v/>
          </cell>
          <cell r="J923" t="str">
            <v/>
          </cell>
        </row>
        <row r="924">
          <cell r="B924" t="str">
            <v>CN53039011</v>
          </cell>
          <cell r="C924" t="str">
            <v/>
          </cell>
          <cell r="D924" t="str">
            <v/>
          </cell>
          <cell r="E924" t="e">
            <v>#VALUE!</v>
          </cell>
          <cell r="F924" t="str">
            <v/>
          </cell>
          <cell r="G924" t="str">
            <v/>
          </cell>
          <cell r="H924" t="str">
            <v/>
          </cell>
          <cell r="I924" t="str">
            <v/>
          </cell>
          <cell r="J924" t="str">
            <v/>
          </cell>
        </row>
        <row r="925">
          <cell r="B925" t="str">
            <v>CN53039012</v>
          </cell>
          <cell r="C925" t="str">
            <v/>
          </cell>
          <cell r="D925" t="str">
            <v/>
          </cell>
          <cell r="E925" t="e">
            <v>#VALUE!</v>
          </cell>
          <cell r="F925" t="str">
            <v/>
          </cell>
          <cell r="G925" t="str">
            <v/>
          </cell>
          <cell r="H925" t="str">
            <v/>
          </cell>
          <cell r="I925" t="str">
            <v/>
          </cell>
          <cell r="J925" t="str">
            <v/>
          </cell>
        </row>
        <row r="926">
          <cell r="B926" t="str">
            <v>CN5303101</v>
          </cell>
          <cell r="C926">
            <v>11210</v>
          </cell>
          <cell r="D926">
            <v>1320</v>
          </cell>
          <cell r="E926">
            <v>12530</v>
          </cell>
          <cell r="F926">
            <v>10.5</v>
          </cell>
          <cell r="G926">
            <v>12530</v>
          </cell>
          <cell r="H926">
            <v>11210</v>
          </cell>
          <cell r="I926">
            <v>1320</v>
          </cell>
          <cell r="J926">
            <v>10.5</v>
          </cell>
        </row>
        <row r="927">
          <cell r="B927" t="str">
            <v>CN5303102</v>
          </cell>
          <cell r="C927">
            <v>11130</v>
          </cell>
          <cell r="D927">
            <v>1340</v>
          </cell>
          <cell r="E927">
            <v>12470</v>
          </cell>
          <cell r="F927">
            <v>10.7</v>
          </cell>
          <cell r="G927">
            <v>12500</v>
          </cell>
          <cell r="H927">
            <v>11170</v>
          </cell>
          <cell r="I927">
            <v>1330</v>
          </cell>
          <cell r="J927">
            <v>10.634126825365072</v>
          </cell>
        </row>
        <row r="928">
          <cell r="B928" t="str">
            <v>CN5303103</v>
          </cell>
          <cell r="C928">
            <v>11220</v>
          </cell>
          <cell r="D928">
            <v>1360</v>
          </cell>
          <cell r="E928">
            <v>12580</v>
          </cell>
          <cell r="F928">
            <v>10.8</v>
          </cell>
          <cell r="G928">
            <v>12530</v>
          </cell>
          <cell r="H928">
            <v>11190</v>
          </cell>
          <cell r="I928">
            <v>1340</v>
          </cell>
          <cell r="J928">
            <v>10.694802948455253</v>
          </cell>
        </row>
        <row r="929">
          <cell r="B929" t="str">
            <v>CN5303104</v>
          </cell>
          <cell r="C929">
            <v>11240</v>
          </cell>
          <cell r="D929">
            <v>1190</v>
          </cell>
          <cell r="E929">
            <v>12430</v>
          </cell>
          <cell r="F929">
            <v>9.6</v>
          </cell>
          <cell r="G929">
            <v>12500</v>
          </cell>
          <cell r="H929">
            <v>11200</v>
          </cell>
          <cell r="I929">
            <v>1300</v>
          </cell>
          <cell r="J929">
            <v>10.415916816636672</v>
          </cell>
        </row>
        <row r="930">
          <cell r="B930" t="str">
            <v>CN5303105</v>
          </cell>
          <cell r="C930">
            <v>11460</v>
          </cell>
          <cell r="D930">
            <v>1190</v>
          </cell>
          <cell r="E930">
            <v>12650</v>
          </cell>
          <cell r="F930">
            <v>9.4</v>
          </cell>
          <cell r="G930">
            <v>12530</v>
          </cell>
          <cell r="H930">
            <v>11250</v>
          </cell>
          <cell r="I930">
            <v>1280</v>
          </cell>
          <cell r="J930">
            <v>10.217824942152715</v>
          </cell>
        </row>
        <row r="931">
          <cell r="B931" t="str">
            <v>CN5303106</v>
          </cell>
          <cell r="C931">
            <v>11670</v>
          </cell>
          <cell r="D931">
            <v>1220</v>
          </cell>
          <cell r="E931">
            <v>12890</v>
          </cell>
          <cell r="F931">
            <v>9.5</v>
          </cell>
          <cell r="G931">
            <v>12590</v>
          </cell>
          <cell r="H931">
            <v>11320</v>
          </cell>
          <cell r="I931">
            <v>1270</v>
          </cell>
          <cell r="J931">
            <v>10.092508039861833</v>
          </cell>
        </row>
        <row r="932">
          <cell r="B932" t="str">
            <v>CN5303107</v>
          </cell>
          <cell r="C932">
            <v>11450</v>
          </cell>
          <cell r="D932">
            <v>1150</v>
          </cell>
          <cell r="E932">
            <v>12600</v>
          </cell>
          <cell r="F932">
            <v>9.1</v>
          </cell>
          <cell r="G932">
            <v>12590</v>
          </cell>
          <cell r="H932">
            <v>11340</v>
          </cell>
          <cell r="I932">
            <v>1250</v>
          </cell>
          <cell r="J932">
            <v>9.9515636875120528</v>
          </cell>
        </row>
        <row r="933">
          <cell r="B933" t="str">
            <v>CN5303108</v>
          </cell>
          <cell r="C933" t="str">
            <v/>
          </cell>
          <cell r="D933" t="str">
            <v/>
          </cell>
          <cell r="E933" t="e">
            <v>#VALUE!</v>
          </cell>
          <cell r="F933" t="str">
            <v/>
          </cell>
          <cell r="G933" t="str">
            <v/>
          </cell>
          <cell r="H933" t="str">
            <v/>
          </cell>
          <cell r="I933" t="str">
            <v/>
          </cell>
          <cell r="J933" t="str">
            <v/>
          </cell>
        </row>
        <row r="934">
          <cell r="B934" t="str">
            <v>CN5303109</v>
          </cell>
          <cell r="C934" t="str">
            <v/>
          </cell>
          <cell r="D934" t="str">
            <v/>
          </cell>
          <cell r="E934" t="e">
            <v>#VALUE!</v>
          </cell>
          <cell r="F934" t="str">
            <v/>
          </cell>
          <cell r="G934" t="str">
            <v/>
          </cell>
          <cell r="H934" t="str">
            <v/>
          </cell>
          <cell r="I934" t="str">
            <v/>
          </cell>
          <cell r="J934" t="str">
            <v/>
          </cell>
        </row>
        <row r="935">
          <cell r="B935" t="str">
            <v>CN53031010</v>
          </cell>
          <cell r="C935" t="str">
            <v/>
          </cell>
          <cell r="D935" t="str">
            <v/>
          </cell>
          <cell r="E935" t="e">
            <v>#VALUE!</v>
          </cell>
          <cell r="F935" t="str">
            <v/>
          </cell>
          <cell r="G935" t="str">
            <v/>
          </cell>
          <cell r="H935" t="str">
            <v/>
          </cell>
          <cell r="I935" t="str">
            <v/>
          </cell>
          <cell r="J935" t="str">
            <v/>
          </cell>
        </row>
        <row r="936">
          <cell r="B936" t="str">
            <v>CN53031011</v>
          </cell>
          <cell r="C936" t="str">
            <v/>
          </cell>
          <cell r="D936" t="str">
            <v/>
          </cell>
          <cell r="E936" t="e">
            <v>#VALUE!</v>
          </cell>
          <cell r="F936" t="str">
            <v/>
          </cell>
          <cell r="G936" t="str">
            <v/>
          </cell>
          <cell r="H936" t="str">
            <v/>
          </cell>
          <cell r="I936" t="str">
            <v/>
          </cell>
          <cell r="J936" t="str">
            <v/>
          </cell>
        </row>
        <row r="937">
          <cell r="B937" t="str">
            <v>CN53031012</v>
          </cell>
          <cell r="C937" t="str">
            <v/>
          </cell>
          <cell r="D937" t="str">
            <v/>
          </cell>
          <cell r="E937" t="e">
            <v>#VALUE!</v>
          </cell>
          <cell r="F937" t="str">
            <v/>
          </cell>
          <cell r="G937" t="str">
            <v/>
          </cell>
          <cell r="H937" t="str">
            <v/>
          </cell>
          <cell r="I937" t="str">
            <v/>
          </cell>
          <cell r="J937" t="str">
            <v/>
          </cell>
        </row>
        <row r="938">
          <cell r="B938" t="str">
            <v>CN5302301</v>
          </cell>
          <cell r="C938">
            <v>900</v>
          </cell>
          <cell r="D938">
            <v>90</v>
          </cell>
          <cell r="E938">
            <v>990</v>
          </cell>
          <cell r="F938">
            <v>9.4</v>
          </cell>
          <cell r="G938">
            <v>990</v>
          </cell>
          <cell r="H938">
            <v>900</v>
          </cell>
          <cell r="I938">
            <v>90</v>
          </cell>
          <cell r="J938">
            <v>9.4</v>
          </cell>
        </row>
        <row r="939">
          <cell r="B939" t="str">
            <v>CN5302302</v>
          </cell>
          <cell r="C939">
            <v>910</v>
          </cell>
          <cell r="D939">
            <v>90</v>
          </cell>
          <cell r="E939">
            <v>1000</v>
          </cell>
          <cell r="F939">
            <v>8.9</v>
          </cell>
          <cell r="G939">
            <v>1000</v>
          </cell>
          <cell r="H939">
            <v>910</v>
          </cell>
          <cell r="I939">
            <v>90</v>
          </cell>
          <cell r="J939">
            <v>9.1228070175438596</v>
          </cell>
        </row>
        <row r="940">
          <cell r="B940" t="str">
            <v>CN5302303</v>
          </cell>
          <cell r="C940">
            <v>930</v>
          </cell>
          <cell r="D940">
            <v>90</v>
          </cell>
          <cell r="E940">
            <v>1020</v>
          </cell>
          <cell r="F940">
            <v>8.5</v>
          </cell>
          <cell r="G940">
            <v>1000</v>
          </cell>
          <cell r="H940">
            <v>910</v>
          </cell>
          <cell r="I940">
            <v>90</v>
          </cell>
          <cell r="J940">
            <v>8.9155023286759807</v>
          </cell>
        </row>
        <row r="941">
          <cell r="B941" t="str">
            <v>CN5302304</v>
          </cell>
          <cell r="C941">
            <v>940</v>
          </cell>
          <cell r="D941">
            <v>70</v>
          </cell>
          <cell r="E941">
            <v>1010</v>
          </cell>
          <cell r="F941">
            <v>6.6</v>
          </cell>
          <cell r="G941">
            <v>1000</v>
          </cell>
          <cell r="H941">
            <v>920</v>
          </cell>
          <cell r="I941">
            <v>80</v>
          </cell>
          <cell r="J941">
            <v>8.3229504111637187</v>
          </cell>
        </row>
        <row r="942">
          <cell r="B942" t="str">
            <v>CN5302305</v>
          </cell>
          <cell r="C942">
            <v>940</v>
          </cell>
          <cell r="D942">
            <v>70</v>
          </cell>
          <cell r="E942">
            <v>1010</v>
          </cell>
          <cell r="F942">
            <v>6.8</v>
          </cell>
          <cell r="G942">
            <v>1000</v>
          </cell>
          <cell r="H942">
            <v>920</v>
          </cell>
          <cell r="I942">
            <v>80</v>
          </cell>
          <cell r="J942">
            <v>8.0111598246313278</v>
          </cell>
        </row>
        <row r="943">
          <cell r="B943" t="str">
            <v>CN5302306</v>
          </cell>
          <cell r="C943">
            <v>950</v>
          </cell>
          <cell r="D943">
            <v>80</v>
          </cell>
          <cell r="E943">
            <v>1030</v>
          </cell>
          <cell r="F943">
            <v>7.3</v>
          </cell>
          <cell r="G943">
            <v>1010</v>
          </cell>
          <cell r="H943">
            <v>930</v>
          </cell>
          <cell r="I943">
            <v>80</v>
          </cell>
          <cell r="J943">
            <v>7.8986587183308492</v>
          </cell>
        </row>
        <row r="944">
          <cell r="B944" t="str">
            <v>CN5302307</v>
          </cell>
          <cell r="C944">
            <v>980</v>
          </cell>
          <cell r="D944">
            <v>70</v>
          </cell>
          <cell r="E944">
            <v>1050</v>
          </cell>
          <cell r="F944">
            <v>6.4</v>
          </cell>
          <cell r="G944">
            <v>1010</v>
          </cell>
          <cell r="H944">
            <v>930</v>
          </cell>
          <cell r="I944">
            <v>80</v>
          </cell>
          <cell r="J944">
            <v>7.6814459192318552</v>
          </cell>
        </row>
        <row r="945">
          <cell r="B945" t="str">
            <v>CN5302308</v>
          </cell>
          <cell r="C945" t="str">
            <v/>
          </cell>
          <cell r="D945" t="str">
            <v/>
          </cell>
          <cell r="E945" t="e">
            <v>#VALUE!</v>
          </cell>
          <cell r="F945" t="str">
            <v/>
          </cell>
          <cell r="G945" t="str">
            <v/>
          </cell>
          <cell r="H945" t="str">
            <v/>
          </cell>
          <cell r="I945" t="str">
            <v/>
          </cell>
          <cell r="J945" t="str">
            <v/>
          </cell>
        </row>
        <row r="946">
          <cell r="B946" t="str">
            <v>CN5302309</v>
          </cell>
          <cell r="C946" t="str">
            <v/>
          </cell>
          <cell r="D946" t="str">
            <v/>
          </cell>
          <cell r="E946" t="e">
            <v>#VALUE!</v>
          </cell>
          <cell r="F946" t="str">
            <v/>
          </cell>
          <cell r="G946" t="str">
            <v/>
          </cell>
          <cell r="H946" t="str">
            <v/>
          </cell>
          <cell r="I946" t="str">
            <v/>
          </cell>
          <cell r="J946" t="str">
            <v/>
          </cell>
        </row>
        <row r="947">
          <cell r="B947" t="str">
            <v>CN53023010</v>
          </cell>
          <cell r="C947" t="str">
            <v/>
          </cell>
          <cell r="D947" t="str">
            <v/>
          </cell>
          <cell r="E947" t="e">
            <v>#VALUE!</v>
          </cell>
          <cell r="F947" t="str">
            <v/>
          </cell>
          <cell r="G947" t="str">
            <v/>
          </cell>
          <cell r="H947" t="str">
            <v/>
          </cell>
          <cell r="I947" t="str">
            <v/>
          </cell>
          <cell r="J947" t="str">
            <v/>
          </cell>
        </row>
        <row r="948">
          <cell r="B948" t="str">
            <v>CN53023011</v>
          </cell>
          <cell r="C948" t="str">
            <v/>
          </cell>
          <cell r="D948" t="str">
            <v/>
          </cell>
          <cell r="E948" t="e">
            <v>#VALUE!</v>
          </cell>
          <cell r="F948" t="str">
            <v/>
          </cell>
          <cell r="G948" t="str">
            <v/>
          </cell>
          <cell r="H948" t="str">
            <v/>
          </cell>
          <cell r="I948" t="str">
            <v/>
          </cell>
          <cell r="J948" t="str">
            <v/>
          </cell>
        </row>
        <row r="949">
          <cell r="B949" t="str">
            <v>CN53023012</v>
          </cell>
          <cell r="C949" t="str">
            <v/>
          </cell>
          <cell r="D949" t="str">
            <v/>
          </cell>
          <cell r="E949" t="e">
            <v>#VALUE!</v>
          </cell>
          <cell r="F949" t="str">
            <v/>
          </cell>
          <cell r="G949" t="str">
            <v/>
          </cell>
          <cell r="H949" t="str">
            <v/>
          </cell>
          <cell r="I949" t="str">
            <v/>
          </cell>
          <cell r="J949" t="str">
            <v/>
          </cell>
        </row>
        <row r="950">
          <cell r="B950" t="str">
            <v>CN5302101</v>
          </cell>
          <cell r="C950">
            <v>33850</v>
          </cell>
          <cell r="D950">
            <v>3900</v>
          </cell>
          <cell r="E950">
            <v>37750</v>
          </cell>
          <cell r="F950">
            <v>10.3</v>
          </cell>
          <cell r="G950">
            <v>37750</v>
          </cell>
          <cell r="H950">
            <v>33850</v>
          </cell>
          <cell r="I950">
            <v>3900</v>
          </cell>
          <cell r="J950">
            <v>10.3</v>
          </cell>
        </row>
        <row r="951">
          <cell r="B951" t="str">
            <v>CN5302102</v>
          </cell>
          <cell r="C951">
            <v>33970</v>
          </cell>
          <cell r="D951">
            <v>3670</v>
          </cell>
          <cell r="E951">
            <v>37640</v>
          </cell>
          <cell r="F951">
            <v>9.6999999999999993</v>
          </cell>
          <cell r="G951">
            <v>37700</v>
          </cell>
          <cell r="H951">
            <v>33910</v>
          </cell>
          <cell r="I951">
            <v>3780</v>
          </cell>
          <cell r="J951">
            <v>10.039659906354871</v>
          </cell>
        </row>
        <row r="952">
          <cell r="B952" t="str">
            <v>CN5302103</v>
          </cell>
          <cell r="C952">
            <v>34430</v>
          </cell>
          <cell r="D952">
            <v>3470</v>
          </cell>
          <cell r="E952">
            <v>37900</v>
          </cell>
          <cell r="F952">
            <v>9.1</v>
          </cell>
          <cell r="G952">
            <v>37760</v>
          </cell>
          <cell r="H952">
            <v>34080</v>
          </cell>
          <cell r="I952">
            <v>3680</v>
          </cell>
          <cell r="J952">
            <v>9.7402941332250492</v>
          </cell>
        </row>
        <row r="953">
          <cell r="B953" t="str">
            <v>CN5302104</v>
          </cell>
          <cell r="C953">
            <v>34530</v>
          </cell>
          <cell r="D953">
            <v>3040</v>
          </cell>
          <cell r="E953">
            <v>37570</v>
          </cell>
          <cell r="F953">
            <v>8.1</v>
          </cell>
          <cell r="G953">
            <v>37710</v>
          </cell>
          <cell r="H953">
            <v>34200</v>
          </cell>
          <cell r="I953">
            <v>3520</v>
          </cell>
          <cell r="J953">
            <v>9.3270225121310961</v>
          </cell>
        </row>
        <row r="954">
          <cell r="B954" t="str">
            <v>CN5302105</v>
          </cell>
          <cell r="C954">
            <v>34710</v>
          </cell>
          <cell r="D954">
            <v>3040</v>
          </cell>
          <cell r="E954">
            <v>37750</v>
          </cell>
          <cell r="F954">
            <v>8</v>
          </cell>
          <cell r="G954">
            <v>37720</v>
          </cell>
          <cell r="H954">
            <v>34300</v>
          </cell>
          <cell r="I954">
            <v>3420</v>
          </cell>
          <cell r="J954">
            <v>9.0707119981335786</v>
          </cell>
        </row>
        <row r="955">
          <cell r="B955" t="str">
            <v>CN5302106</v>
          </cell>
          <cell r="C955">
            <v>35980</v>
          </cell>
          <cell r="D955">
            <v>2980</v>
          </cell>
          <cell r="E955">
            <v>38960</v>
          </cell>
          <cell r="F955">
            <v>7.7</v>
          </cell>
          <cell r="G955">
            <v>37930</v>
          </cell>
          <cell r="H955">
            <v>34580</v>
          </cell>
          <cell r="I955">
            <v>3350</v>
          </cell>
          <cell r="J955">
            <v>8.8289578920538929</v>
          </cell>
        </row>
        <row r="956">
          <cell r="B956" t="str">
            <v>CN5302107</v>
          </cell>
          <cell r="C956">
            <v>35200</v>
          </cell>
          <cell r="D956">
            <v>2970</v>
          </cell>
          <cell r="E956">
            <v>38170</v>
          </cell>
          <cell r="F956">
            <v>7.8</v>
          </cell>
          <cell r="G956">
            <v>37960</v>
          </cell>
          <cell r="H956">
            <v>34670</v>
          </cell>
          <cell r="I956">
            <v>3290</v>
          </cell>
          <cell r="J956">
            <v>8.6765740779070253</v>
          </cell>
        </row>
        <row r="957">
          <cell r="B957" t="str">
            <v>CN5302108</v>
          </cell>
          <cell r="C957" t="str">
            <v/>
          </cell>
          <cell r="D957" t="str">
            <v/>
          </cell>
          <cell r="E957" t="e">
            <v>#VALUE!</v>
          </cell>
          <cell r="F957" t="str">
            <v/>
          </cell>
          <cell r="G957" t="str">
            <v/>
          </cell>
          <cell r="H957" t="str">
            <v/>
          </cell>
          <cell r="I957" t="str">
            <v/>
          </cell>
          <cell r="J957" t="str">
            <v/>
          </cell>
        </row>
        <row r="958">
          <cell r="B958" t="str">
            <v>CN5302109</v>
          </cell>
          <cell r="C958" t="str">
            <v/>
          </cell>
          <cell r="D958" t="str">
            <v/>
          </cell>
          <cell r="E958" t="e">
            <v>#VALUE!</v>
          </cell>
          <cell r="F958" t="str">
            <v/>
          </cell>
          <cell r="G958" t="str">
            <v/>
          </cell>
          <cell r="H958" t="str">
            <v/>
          </cell>
          <cell r="I958" t="str">
            <v/>
          </cell>
          <cell r="J958" t="str">
            <v/>
          </cell>
        </row>
        <row r="959">
          <cell r="B959" t="str">
            <v>CN53021010</v>
          </cell>
          <cell r="C959" t="str">
            <v/>
          </cell>
          <cell r="D959" t="str">
            <v/>
          </cell>
          <cell r="E959" t="e">
            <v>#VALUE!</v>
          </cell>
          <cell r="F959" t="str">
            <v/>
          </cell>
          <cell r="G959" t="str">
            <v/>
          </cell>
          <cell r="H959" t="str">
            <v/>
          </cell>
          <cell r="I959" t="str">
            <v/>
          </cell>
          <cell r="J959" t="str">
            <v/>
          </cell>
        </row>
        <row r="960">
          <cell r="B960" t="str">
            <v>CN53021011</v>
          </cell>
          <cell r="C960" t="str">
            <v/>
          </cell>
          <cell r="D960" t="str">
            <v/>
          </cell>
          <cell r="E960" t="e">
            <v>#VALUE!</v>
          </cell>
          <cell r="F960" t="str">
            <v/>
          </cell>
          <cell r="G960" t="str">
            <v/>
          </cell>
          <cell r="H960" t="str">
            <v/>
          </cell>
          <cell r="I960" t="str">
            <v/>
          </cell>
          <cell r="J960" t="str">
            <v/>
          </cell>
        </row>
        <row r="961">
          <cell r="B961" t="str">
            <v>CN53021012</v>
          </cell>
          <cell r="C961" t="str">
            <v/>
          </cell>
          <cell r="D961" t="str">
            <v/>
          </cell>
          <cell r="E961" t="e">
            <v>#VALUE!</v>
          </cell>
          <cell r="F961" t="str">
            <v/>
          </cell>
          <cell r="G961" t="str">
            <v/>
          </cell>
          <cell r="H961" t="str">
            <v/>
          </cell>
          <cell r="I961" t="str">
            <v/>
          </cell>
          <cell r="J961" t="str">
            <v/>
          </cell>
        </row>
        <row r="962">
          <cell r="B962" t="str">
            <v>CN5301901</v>
          </cell>
          <cell r="C962">
            <v>2550</v>
          </cell>
          <cell r="D962">
            <v>460</v>
          </cell>
          <cell r="E962">
            <v>3010</v>
          </cell>
          <cell r="F962">
            <v>15.3</v>
          </cell>
          <cell r="G962">
            <v>3010</v>
          </cell>
          <cell r="H962">
            <v>2550</v>
          </cell>
          <cell r="I962">
            <v>460</v>
          </cell>
          <cell r="J962">
            <v>15.3</v>
          </cell>
        </row>
        <row r="963">
          <cell r="B963" t="str">
            <v>CN5301902</v>
          </cell>
          <cell r="C963">
            <v>2540</v>
          </cell>
          <cell r="D963">
            <v>490</v>
          </cell>
          <cell r="E963">
            <v>3030</v>
          </cell>
          <cell r="F963">
            <v>16.2</v>
          </cell>
          <cell r="G963">
            <v>3020</v>
          </cell>
          <cell r="H963">
            <v>2540</v>
          </cell>
          <cell r="I963">
            <v>470</v>
          </cell>
          <cell r="J963">
            <v>15.727543917799139</v>
          </cell>
        </row>
        <row r="964">
          <cell r="B964" t="str">
            <v>CN5301903</v>
          </cell>
          <cell r="C964">
            <v>2510</v>
          </cell>
          <cell r="D964">
            <v>490</v>
          </cell>
          <cell r="E964">
            <v>3000</v>
          </cell>
          <cell r="F964">
            <v>16.399999999999999</v>
          </cell>
          <cell r="G964">
            <v>3010</v>
          </cell>
          <cell r="H964">
            <v>2530</v>
          </cell>
          <cell r="I964">
            <v>480</v>
          </cell>
          <cell r="J964">
            <v>15.94555715392276</v>
          </cell>
        </row>
        <row r="965">
          <cell r="B965" t="str">
            <v>CN5301904</v>
          </cell>
          <cell r="C965">
            <v>2540</v>
          </cell>
          <cell r="D965">
            <v>420</v>
          </cell>
          <cell r="E965">
            <v>2960</v>
          </cell>
          <cell r="F965">
            <v>14.2</v>
          </cell>
          <cell r="G965">
            <v>3000</v>
          </cell>
          <cell r="H965">
            <v>2530</v>
          </cell>
          <cell r="I965">
            <v>470</v>
          </cell>
          <cell r="J965">
            <v>15.509625802150179</v>
          </cell>
        </row>
        <row r="966">
          <cell r="B966" t="str">
            <v>CN5301905</v>
          </cell>
          <cell r="C966">
            <v>2630</v>
          </cell>
          <cell r="D966">
            <v>400</v>
          </cell>
          <cell r="E966">
            <v>3030</v>
          </cell>
          <cell r="F966">
            <v>13.3</v>
          </cell>
          <cell r="G966">
            <v>3010</v>
          </cell>
          <cell r="H966">
            <v>2550</v>
          </cell>
          <cell r="I966">
            <v>450</v>
          </cell>
          <cell r="J966">
            <v>15.057196062782657</v>
          </cell>
        </row>
        <row r="967">
          <cell r="B967" t="str">
            <v>CN5301906</v>
          </cell>
          <cell r="C967">
            <v>2680</v>
          </cell>
          <cell r="D967">
            <v>390</v>
          </cell>
          <cell r="E967">
            <v>3070</v>
          </cell>
          <cell r="F967">
            <v>12.6</v>
          </cell>
          <cell r="G967">
            <v>3020</v>
          </cell>
          <cell r="H967">
            <v>2580</v>
          </cell>
          <cell r="I967">
            <v>440</v>
          </cell>
          <cell r="J967">
            <v>14.647078316580139</v>
          </cell>
        </row>
        <row r="968">
          <cell r="B968" t="str">
            <v>CN5301907</v>
          </cell>
          <cell r="C968">
            <v>2620</v>
          </cell>
          <cell r="D968">
            <v>390</v>
          </cell>
          <cell r="E968">
            <v>3010</v>
          </cell>
          <cell r="F968">
            <v>12.9</v>
          </cell>
          <cell r="G968">
            <v>3020</v>
          </cell>
          <cell r="H968">
            <v>2580</v>
          </cell>
          <cell r="I968">
            <v>430</v>
          </cell>
          <cell r="J968">
            <v>14.403448112537298</v>
          </cell>
        </row>
        <row r="969">
          <cell r="B969" t="str">
            <v>CN5301908</v>
          </cell>
          <cell r="C969" t="str">
            <v/>
          </cell>
          <cell r="D969" t="str">
            <v/>
          </cell>
          <cell r="E969" t="e">
            <v>#VALUE!</v>
          </cell>
          <cell r="F969" t="str">
            <v/>
          </cell>
          <cell r="G969" t="str">
            <v/>
          </cell>
          <cell r="H969" t="str">
            <v/>
          </cell>
          <cell r="I969" t="str">
            <v/>
          </cell>
          <cell r="J969" t="str">
            <v/>
          </cell>
        </row>
        <row r="970">
          <cell r="B970" t="str">
            <v>CN5301909</v>
          </cell>
          <cell r="C970" t="str">
            <v/>
          </cell>
          <cell r="D970" t="str">
            <v/>
          </cell>
          <cell r="E970" t="e">
            <v>#VALUE!</v>
          </cell>
          <cell r="F970" t="str">
            <v/>
          </cell>
          <cell r="G970" t="str">
            <v/>
          </cell>
          <cell r="H970" t="str">
            <v/>
          </cell>
          <cell r="I970" t="str">
            <v/>
          </cell>
          <cell r="J970" t="str">
            <v/>
          </cell>
        </row>
        <row r="971">
          <cell r="B971" t="str">
            <v>CN53019010</v>
          </cell>
          <cell r="C971" t="str">
            <v/>
          </cell>
          <cell r="D971" t="str">
            <v/>
          </cell>
          <cell r="E971" t="e">
            <v>#VALUE!</v>
          </cell>
          <cell r="F971" t="str">
            <v/>
          </cell>
          <cell r="G971" t="str">
            <v/>
          </cell>
          <cell r="H971" t="str">
            <v/>
          </cell>
          <cell r="I971" t="str">
            <v/>
          </cell>
          <cell r="J971" t="str">
            <v/>
          </cell>
        </row>
        <row r="972">
          <cell r="B972" t="str">
            <v>CN53019011</v>
          </cell>
          <cell r="C972" t="str">
            <v/>
          </cell>
          <cell r="D972" t="str">
            <v/>
          </cell>
          <cell r="E972" t="e">
            <v>#VALUE!</v>
          </cell>
          <cell r="F972" t="str">
            <v/>
          </cell>
          <cell r="G972" t="str">
            <v/>
          </cell>
          <cell r="H972" t="str">
            <v/>
          </cell>
          <cell r="I972" t="str">
            <v/>
          </cell>
          <cell r="J972" t="str">
            <v/>
          </cell>
        </row>
        <row r="973">
          <cell r="B973" t="str">
            <v>CN53019012</v>
          </cell>
          <cell r="C973" t="str">
            <v/>
          </cell>
          <cell r="D973" t="str">
            <v/>
          </cell>
          <cell r="E973" t="e">
            <v>#VALUE!</v>
          </cell>
          <cell r="F973" t="str">
            <v/>
          </cell>
          <cell r="G973" t="str">
            <v/>
          </cell>
          <cell r="H973" t="str">
            <v/>
          </cell>
          <cell r="I973" t="str">
            <v/>
          </cell>
          <cell r="J973" t="str">
            <v/>
          </cell>
        </row>
        <row r="974">
          <cell r="B974" t="str">
            <v>CN5301701</v>
          </cell>
          <cell r="C974">
            <v>18650</v>
          </cell>
          <cell r="D974">
            <v>2020</v>
          </cell>
          <cell r="E974">
            <v>20670</v>
          </cell>
          <cell r="F974">
            <v>9.8000000000000007</v>
          </cell>
          <cell r="G974">
            <v>20670</v>
          </cell>
          <cell r="H974">
            <v>18650</v>
          </cell>
          <cell r="I974">
            <v>2020</v>
          </cell>
          <cell r="J974">
            <v>9.8000000000000007</v>
          </cell>
        </row>
        <row r="975">
          <cell r="B975" t="str">
            <v>CN5301702</v>
          </cell>
          <cell r="C975">
            <v>18850</v>
          </cell>
          <cell r="D975">
            <v>1990</v>
          </cell>
          <cell r="E975">
            <v>20840</v>
          </cell>
          <cell r="F975">
            <v>9.5</v>
          </cell>
          <cell r="G975">
            <v>20750</v>
          </cell>
          <cell r="H975">
            <v>18750</v>
          </cell>
          <cell r="I975">
            <v>2000</v>
          </cell>
          <cell r="J975">
            <v>9.6474953617810755</v>
          </cell>
        </row>
        <row r="976">
          <cell r="B976" t="str">
            <v>CN5301703</v>
          </cell>
          <cell r="C976">
            <v>19090</v>
          </cell>
          <cell r="D976">
            <v>1910</v>
          </cell>
          <cell r="E976">
            <v>21000</v>
          </cell>
          <cell r="F976">
            <v>9.1</v>
          </cell>
          <cell r="G976">
            <v>20830</v>
          </cell>
          <cell r="H976">
            <v>18860</v>
          </cell>
          <cell r="I976">
            <v>1970</v>
          </cell>
          <cell r="J976">
            <v>9.4558487064206975</v>
          </cell>
        </row>
        <row r="977">
          <cell r="B977" t="str">
            <v>CN5301704</v>
          </cell>
          <cell r="C977">
            <v>18720</v>
          </cell>
          <cell r="D977">
            <v>1650</v>
          </cell>
          <cell r="E977">
            <v>20370</v>
          </cell>
          <cell r="F977">
            <v>8.1</v>
          </cell>
          <cell r="G977">
            <v>20720</v>
          </cell>
          <cell r="H977">
            <v>18830</v>
          </cell>
          <cell r="I977">
            <v>1890</v>
          </cell>
          <cell r="J977">
            <v>9.126012090789521</v>
          </cell>
        </row>
        <row r="978">
          <cell r="B978" t="str">
            <v>CN5301705</v>
          </cell>
          <cell r="C978">
            <v>18990</v>
          </cell>
          <cell r="D978">
            <v>1640</v>
          </cell>
          <cell r="E978">
            <v>20630</v>
          </cell>
          <cell r="F978">
            <v>8</v>
          </cell>
          <cell r="G978">
            <v>20700</v>
          </cell>
          <cell r="H978">
            <v>18860</v>
          </cell>
          <cell r="I978">
            <v>1840</v>
          </cell>
          <cell r="J978">
            <v>8.891787439613525</v>
          </cell>
        </row>
        <row r="979">
          <cell r="B979" t="str">
            <v>CN5301706</v>
          </cell>
          <cell r="C979">
            <v>21700</v>
          </cell>
          <cell r="D979">
            <v>1670</v>
          </cell>
          <cell r="E979">
            <v>23370</v>
          </cell>
          <cell r="F979">
            <v>7.1</v>
          </cell>
          <cell r="G979">
            <v>21150</v>
          </cell>
          <cell r="H979">
            <v>19330</v>
          </cell>
          <cell r="I979">
            <v>1810</v>
          </cell>
          <cell r="J979">
            <v>8.5691991203802242</v>
          </cell>
        </row>
        <row r="980">
          <cell r="B980" t="str">
            <v>CN5301707</v>
          </cell>
          <cell r="C980">
            <v>24120</v>
          </cell>
          <cell r="D980">
            <v>1560</v>
          </cell>
          <cell r="E980">
            <v>25680</v>
          </cell>
          <cell r="F980">
            <v>6.1</v>
          </cell>
          <cell r="G980">
            <v>21790</v>
          </cell>
          <cell r="H980">
            <v>20020</v>
          </cell>
          <cell r="I980">
            <v>1780</v>
          </cell>
          <cell r="J980">
            <v>8.1519744087262058</v>
          </cell>
        </row>
        <row r="981">
          <cell r="B981" t="str">
            <v>CN5301708</v>
          </cell>
          <cell r="C981" t="str">
            <v/>
          </cell>
          <cell r="D981" t="str">
            <v/>
          </cell>
          <cell r="E981" t="e">
            <v>#VALUE!</v>
          </cell>
          <cell r="F981" t="str">
            <v/>
          </cell>
          <cell r="G981" t="str">
            <v/>
          </cell>
          <cell r="H981" t="str">
            <v/>
          </cell>
          <cell r="I981" t="str">
            <v/>
          </cell>
          <cell r="J981" t="str">
            <v/>
          </cell>
        </row>
        <row r="982">
          <cell r="B982" t="str">
            <v>CN5301709</v>
          </cell>
          <cell r="C982" t="str">
            <v/>
          </cell>
          <cell r="D982" t="str">
            <v/>
          </cell>
          <cell r="E982" t="e">
            <v>#VALUE!</v>
          </cell>
          <cell r="F982" t="str">
            <v/>
          </cell>
          <cell r="G982" t="str">
            <v/>
          </cell>
          <cell r="H982" t="str">
            <v/>
          </cell>
          <cell r="I982" t="str">
            <v/>
          </cell>
          <cell r="J982" t="str">
            <v/>
          </cell>
        </row>
        <row r="983">
          <cell r="B983" t="str">
            <v>CN53017010</v>
          </cell>
          <cell r="C983" t="str">
            <v/>
          </cell>
          <cell r="D983" t="str">
            <v/>
          </cell>
          <cell r="E983" t="e">
            <v>#VALUE!</v>
          </cell>
          <cell r="F983" t="str">
            <v/>
          </cell>
          <cell r="G983" t="str">
            <v/>
          </cell>
          <cell r="H983" t="str">
            <v/>
          </cell>
          <cell r="I983" t="str">
            <v/>
          </cell>
          <cell r="J983" t="str">
            <v/>
          </cell>
        </row>
        <row r="984">
          <cell r="B984" t="str">
            <v>CN53017011</v>
          </cell>
          <cell r="C984" t="str">
            <v/>
          </cell>
          <cell r="D984" t="str">
            <v/>
          </cell>
          <cell r="E984" t="e">
            <v>#VALUE!</v>
          </cell>
          <cell r="F984" t="str">
            <v/>
          </cell>
          <cell r="G984" t="str">
            <v/>
          </cell>
          <cell r="H984" t="str">
            <v/>
          </cell>
          <cell r="I984" t="str">
            <v/>
          </cell>
          <cell r="J984" t="str">
            <v/>
          </cell>
        </row>
        <row r="985">
          <cell r="B985" t="str">
            <v>CN53017012</v>
          </cell>
          <cell r="C985" t="str">
            <v/>
          </cell>
          <cell r="D985" t="str">
            <v/>
          </cell>
          <cell r="E985" t="e">
            <v>#VALUE!</v>
          </cell>
          <cell r="F985" t="str">
            <v/>
          </cell>
          <cell r="G985" t="str">
            <v/>
          </cell>
          <cell r="H985" t="str">
            <v/>
          </cell>
          <cell r="I985" t="str">
            <v/>
          </cell>
          <cell r="J985" t="str">
            <v/>
          </cell>
        </row>
        <row r="986">
          <cell r="B986" t="str">
            <v>CN5301301</v>
          </cell>
          <cell r="C986">
            <v>1360</v>
          </cell>
          <cell r="D986">
            <v>200</v>
          </cell>
          <cell r="E986">
            <v>1560</v>
          </cell>
          <cell r="F986">
            <v>12.6</v>
          </cell>
          <cell r="G986">
            <v>1550</v>
          </cell>
          <cell r="H986">
            <v>1360</v>
          </cell>
          <cell r="I986">
            <v>200</v>
          </cell>
          <cell r="J986">
            <v>12.6</v>
          </cell>
        </row>
        <row r="987">
          <cell r="B987" t="str">
            <v>CN5301302</v>
          </cell>
          <cell r="C987">
            <v>1360</v>
          </cell>
          <cell r="D987">
            <v>190</v>
          </cell>
          <cell r="E987">
            <v>1550</v>
          </cell>
          <cell r="F987">
            <v>12.3</v>
          </cell>
          <cell r="G987">
            <v>1550</v>
          </cell>
          <cell r="H987">
            <v>1360</v>
          </cell>
          <cell r="I987">
            <v>190</v>
          </cell>
          <cell r="J987">
            <v>12.435567010309278</v>
          </cell>
        </row>
        <row r="988">
          <cell r="B988" t="str">
            <v>CN5301303</v>
          </cell>
          <cell r="C988">
            <v>1370</v>
          </cell>
          <cell r="D988">
            <v>200</v>
          </cell>
          <cell r="E988">
            <v>1570</v>
          </cell>
          <cell r="F988">
            <v>12.6</v>
          </cell>
          <cell r="G988">
            <v>1560</v>
          </cell>
          <cell r="H988">
            <v>1360</v>
          </cell>
          <cell r="I988">
            <v>190</v>
          </cell>
          <cell r="J988">
            <v>12.486613835939174</v>
          </cell>
        </row>
        <row r="989">
          <cell r="B989" t="str">
            <v>CN5301304</v>
          </cell>
          <cell r="C989">
            <v>1340</v>
          </cell>
          <cell r="D989">
            <v>170</v>
          </cell>
          <cell r="E989">
            <v>1510</v>
          </cell>
          <cell r="F989">
            <v>11.2</v>
          </cell>
          <cell r="G989">
            <v>1550</v>
          </cell>
          <cell r="H989">
            <v>1360</v>
          </cell>
          <cell r="I989">
            <v>190</v>
          </cell>
          <cell r="J989">
            <v>12.180524102232287</v>
          </cell>
        </row>
        <row r="990">
          <cell r="B990" t="str">
            <v>CN5301305</v>
          </cell>
          <cell r="C990">
            <v>1350</v>
          </cell>
          <cell r="D990">
            <v>170</v>
          </cell>
          <cell r="E990">
            <v>1520</v>
          </cell>
          <cell r="F990">
            <v>11</v>
          </cell>
          <cell r="G990">
            <v>1540</v>
          </cell>
          <cell r="H990">
            <v>1360</v>
          </cell>
          <cell r="I990">
            <v>180</v>
          </cell>
          <cell r="J990">
            <v>11.949603844655151</v>
          </cell>
        </row>
        <row r="991">
          <cell r="B991" t="str">
            <v>CN5301306</v>
          </cell>
          <cell r="C991">
            <v>1370</v>
          </cell>
          <cell r="D991">
            <v>170</v>
          </cell>
          <cell r="E991">
            <v>1540</v>
          </cell>
          <cell r="F991">
            <v>11.3</v>
          </cell>
          <cell r="G991">
            <v>1540</v>
          </cell>
          <cell r="H991">
            <v>1360</v>
          </cell>
          <cell r="I991">
            <v>180</v>
          </cell>
          <cell r="J991">
            <v>11.842390127733275</v>
          </cell>
        </row>
        <row r="992">
          <cell r="B992" t="str">
            <v>CN5301307</v>
          </cell>
          <cell r="C992">
            <v>1330</v>
          </cell>
          <cell r="D992">
            <v>150</v>
          </cell>
          <cell r="E992">
            <v>1480</v>
          </cell>
          <cell r="F992">
            <v>10.199999999999999</v>
          </cell>
          <cell r="G992">
            <v>1530</v>
          </cell>
          <cell r="H992">
            <v>1350</v>
          </cell>
          <cell r="I992">
            <v>180</v>
          </cell>
          <cell r="J992">
            <v>11.612722693778565</v>
          </cell>
        </row>
        <row r="993">
          <cell r="B993" t="str">
            <v>CN5301308</v>
          </cell>
          <cell r="C993" t="str">
            <v/>
          </cell>
          <cell r="D993" t="str">
            <v/>
          </cell>
          <cell r="E993" t="e">
            <v>#VALUE!</v>
          </cell>
          <cell r="F993" t="str">
            <v/>
          </cell>
          <cell r="G993" t="str">
            <v/>
          </cell>
          <cell r="H993" t="str">
            <v/>
          </cell>
          <cell r="I993" t="str">
            <v/>
          </cell>
          <cell r="J993" t="str">
            <v/>
          </cell>
        </row>
        <row r="994">
          <cell r="B994" t="str">
            <v>CN5301309</v>
          </cell>
          <cell r="C994" t="str">
            <v/>
          </cell>
          <cell r="D994" t="str">
            <v/>
          </cell>
          <cell r="E994" t="e">
            <v>#VALUE!</v>
          </cell>
          <cell r="F994" t="str">
            <v/>
          </cell>
          <cell r="G994" t="str">
            <v/>
          </cell>
          <cell r="H994" t="str">
            <v/>
          </cell>
          <cell r="I994" t="str">
            <v/>
          </cell>
          <cell r="J994" t="str">
            <v/>
          </cell>
        </row>
        <row r="995">
          <cell r="B995" t="str">
            <v>CN53013010</v>
          </cell>
          <cell r="C995" t="str">
            <v/>
          </cell>
          <cell r="D995" t="str">
            <v/>
          </cell>
          <cell r="E995" t="e">
            <v>#VALUE!</v>
          </cell>
          <cell r="F995" t="str">
            <v/>
          </cell>
          <cell r="G995" t="str">
            <v/>
          </cell>
          <cell r="H995" t="str">
            <v/>
          </cell>
          <cell r="I995" t="str">
            <v/>
          </cell>
          <cell r="J995" t="str">
            <v/>
          </cell>
        </row>
        <row r="996">
          <cell r="B996" t="str">
            <v>CN53013011</v>
          </cell>
          <cell r="C996" t="str">
            <v/>
          </cell>
          <cell r="D996" t="str">
            <v/>
          </cell>
          <cell r="E996" t="e">
            <v>#VALUE!</v>
          </cell>
          <cell r="F996" t="str">
            <v/>
          </cell>
          <cell r="G996" t="str">
            <v/>
          </cell>
          <cell r="H996" t="str">
            <v/>
          </cell>
          <cell r="I996" t="str">
            <v/>
          </cell>
          <cell r="J996" t="str">
            <v/>
          </cell>
        </row>
        <row r="997">
          <cell r="B997" t="str">
            <v>CN53013012</v>
          </cell>
          <cell r="C997" t="str">
            <v/>
          </cell>
          <cell r="D997" t="str">
            <v/>
          </cell>
          <cell r="E997" t="e">
            <v>#VALUE!</v>
          </cell>
          <cell r="F997" t="str">
            <v/>
          </cell>
          <cell r="G997" t="str">
            <v/>
          </cell>
          <cell r="H997" t="str">
            <v/>
          </cell>
          <cell r="I997" t="str">
            <v/>
          </cell>
          <cell r="J997" t="str">
            <v/>
          </cell>
        </row>
        <row r="998">
          <cell r="B998" t="str">
            <v>CN5301101</v>
          </cell>
          <cell r="C998">
            <v>189680</v>
          </cell>
          <cell r="D998">
            <v>28960</v>
          </cell>
          <cell r="E998">
            <v>218640</v>
          </cell>
          <cell r="F998">
            <v>13.2</v>
          </cell>
          <cell r="G998">
            <v>218640</v>
          </cell>
          <cell r="H998">
            <v>189680</v>
          </cell>
          <cell r="I998">
            <v>28960</v>
          </cell>
          <cell r="J998">
            <v>13.2</v>
          </cell>
        </row>
        <row r="999">
          <cell r="B999" t="str">
            <v>CN5301102</v>
          </cell>
          <cell r="C999">
            <v>190380</v>
          </cell>
          <cell r="D999">
            <v>28200</v>
          </cell>
          <cell r="E999">
            <v>218580</v>
          </cell>
          <cell r="F999">
            <v>12.9</v>
          </cell>
          <cell r="G999">
            <v>218610</v>
          </cell>
          <cell r="H999">
            <v>190030</v>
          </cell>
          <cell r="I999">
            <v>28580</v>
          </cell>
          <cell r="J999">
            <v>13.074474070617942</v>
          </cell>
        </row>
        <row r="1000">
          <cell r="B1000" t="str">
            <v>CN5301103</v>
          </cell>
          <cell r="C1000">
            <v>189850</v>
          </cell>
          <cell r="D1000">
            <v>28340</v>
          </cell>
          <cell r="E1000">
            <v>218190</v>
          </cell>
          <cell r="F1000">
            <v>13</v>
          </cell>
          <cell r="G1000">
            <v>218470</v>
          </cell>
          <cell r="H1000">
            <v>189970</v>
          </cell>
          <cell r="I1000">
            <v>28500</v>
          </cell>
          <cell r="J1000">
            <v>13.045587770839024</v>
          </cell>
        </row>
        <row r="1001">
          <cell r="B1001" t="str">
            <v>CN5301104</v>
          </cell>
          <cell r="C1001">
            <v>189850</v>
          </cell>
          <cell r="D1001">
            <v>27780</v>
          </cell>
          <cell r="E1001">
            <v>217630</v>
          </cell>
          <cell r="F1001">
            <v>12.8</v>
          </cell>
          <cell r="G1001">
            <v>218260</v>
          </cell>
          <cell r="H1001">
            <v>189940</v>
          </cell>
          <cell r="I1001">
            <v>28320</v>
          </cell>
          <cell r="J1001">
            <v>12.975445822628512</v>
          </cell>
        </row>
        <row r="1002">
          <cell r="B1002" t="str">
            <v>CN5301105</v>
          </cell>
          <cell r="C1002">
            <v>190330</v>
          </cell>
          <cell r="D1002">
            <v>27740</v>
          </cell>
          <cell r="E1002">
            <v>218070</v>
          </cell>
          <cell r="F1002">
            <v>12.7</v>
          </cell>
          <cell r="G1002">
            <v>218220</v>
          </cell>
          <cell r="H1002">
            <v>190020</v>
          </cell>
          <cell r="I1002">
            <v>28200</v>
          </cell>
          <cell r="J1002">
            <v>12.924266669599438</v>
          </cell>
        </row>
        <row r="1003">
          <cell r="B1003" t="str">
            <v>CN5301106</v>
          </cell>
          <cell r="C1003">
            <v>187500</v>
          </cell>
          <cell r="D1003">
            <v>26380</v>
          </cell>
          <cell r="E1003">
            <v>213880</v>
          </cell>
          <cell r="F1003">
            <v>12.3</v>
          </cell>
          <cell r="G1003">
            <v>217500</v>
          </cell>
          <cell r="H1003">
            <v>189600</v>
          </cell>
          <cell r="I1003">
            <v>27900</v>
          </cell>
          <cell r="J1003">
            <v>12.827482097632558</v>
          </cell>
        </row>
        <row r="1004">
          <cell r="B1004" t="str">
            <v>CN5301107</v>
          </cell>
          <cell r="C1004">
            <v>183510</v>
          </cell>
          <cell r="D1004">
            <v>20640</v>
          </cell>
          <cell r="E1004">
            <v>204150</v>
          </cell>
          <cell r="F1004">
            <v>10.1</v>
          </cell>
          <cell r="G1004">
            <v>215590</v>
          </cell>
          <cell r="H1004">
            <v>188730</v>
          </cell>
          <cell r="I1004">
            <v>26860</v>
          </cell>
          <cell r="J1004">
            <v>12.459869767663761</v>
          </cell>
        </row>
        <row r="1005">
          <cell r="B1005" t="str">
            <v>CN5301108</v>
          </cell>
          <cell r="C1005" t="str">
            <v/>
          </cell>
          <cell r="D1005" t="str">
            <v/>
          </cell>
          <cell r="E1005" t="e">
            <v>#VALUE!</v>
          </cell>
          <cell r="F1005" t="str">
            <v/>
          </cell>
          <cell r="G1005" t="str">
            <v/>
          </cell>
          <cell r="H1005" t="str">
            <v/>
          </cell>
          <cell r="I1005" t="str">
            <v/>
          </cell>
          <cell r="J1005" t="str">
            <v/>
          </cell>
        </row>
        <row r="1006">
          <cell r="B1006" t="str">
            <v>CN5301109</v>
          </cell>
          <cell r="C1006" t="str">
            <v/>
          </cell>
          <cell r="D1006" t="str">
            <v/>
          </cell>
          <cell r="E1006" t="e">
            <v>#VALUE!</v>
          </cell>
          <cell r="F1006" t="str">
            <v/>
          </cell>
          <cell r="G1006" t="str">
            <v/>
          </cell>
          <cell r="H1006" t="str">
            <v/>
          </cell>
          <cell r="I1006" t="str">
            <v/>
          </cell>
          <cell r="J1006" t="str">
            <v/>
          </cell>
        </row>
        <row r="1007">
          <cell r="B1007" t="str">
            <v>CN53011010</v>
          </cell>
          <cell r="C1007" t="str">
            <v/>
          </cell>
          <cell r="D1007" t="str">
            <v/>
          </cell>
          <cell r="E1007" t="e">
            <v>#VALUE!</v>
          </cell>
          <cell r="F1007" t="str">
            <v/>
          </cell>
          <cell r="G1007" t="str">
            <v/>
          </cell>
          <cell r="H1007" t="str">
            <v/>
          </cell>
          <cell r="I1007" t="str">
            <v/>
          </cell>
          <cell r="J1007" t="str">
            <v/>
          </cell>
        </row>
        <row r="1008">
          <cell r="B1008" t="str">
            <v>CN53011011</v>
          </cell>
          <cell r="C1008" t="str">
            <v/>
          </cell>
          <cell r="D1008" t="str">
            <v/>
          </cell>
          <cell r="E1008" t="e">
            <v>#VALUE!</v>
          </cell>
          <cell r="F1008" t="str">
            <v/>
          </cell>
          <cell r="G1008" t="str">
            <v/>
          </cell>
          <cell r="H1008" t="str">
            <v/>
          </cell>
          <cell r="I1008" t="str">
            <v/>
          </cell>
          <cell r="J1008" t="str">
            <v/>
          </cell>
        </row>
        <row r="1009">
          <cell r="B1009" t="str">
            <v>CN53011012</v>
          </cell>
          <cell r="C1009" t="str">
            <v/>
          </cell>
          <cell r="D1009" t="str">
            <v/>
          </cell>
          <cell r="E1009" t="e">
            <v>#VALUE!</v>
          </cell>
          <cell r="F1009" t="str">
            <v/>
          </cell>
          <cell r="G1009" t="str">
            <v/>
          </cell>
          <cell r="H1009" t="str">
            <v/>
          </cell>
          <cell r="I1009" t="str">
            <v/>
          </cell>
          <cell r="J1009" t="str">
            <v/>
          </cell>
        </row>
        <row r="1010">
          <cell r="B1010" t="str">
            <v>CN5300701</v>
          </cell>
          <cell r="C1010">
            <v>35410</v>
          </cell>
          <cell r="D1010">
            <v>3910</v>
          </cell>
          <cell r="E1010">
            <v>39320</v>
          </cell>
          <cell r="F1010">
            <v>9.9</v>
          </cell>
          <cell r="G1010">
            <v>39320</v>
          </cell>
          <cell r="H1010">
            <v>35410</v>
          </cell>
          <cell r="I1010">
            <v>3910</v>
          </cell>
          <cell r="J1010">
            <v>9.9</v>
          </cell>
        </row>
        <row r="1011">
          <cell r="B1011" t="str">
            <v>CN5300702</v>
          </cell>
          <cell r="C1011">
            <v>35780</v>
          </cell>
          <cell r="D1011">
            <v>3880</v>
          </cell>
          <cell r="E1011">
            <v>39660</v>
          </cell>
          <cell r="F1011">
            <v>9.8000000000000007</v>
          </cell>
          <cell r="G1011">
            <v>39490</v>
          </cell>
          <cell r="H1011">
            <v>35600</v>
          </cell>
          <cell r="I1011">
            <v>3900</v>
          </cell>
          <cell r="J1011">
            <v>9.8642728723000168</v>
          </cell>
        </row>
        <row r="1012">
          <cell r="B1012" t="str">
            <v>CN5300703</v>
          </cell>
          <cell r="C1012">
            <v>36250</v>
          </cell>
          <cell r="D1012">
            <v>3840</v>
          </cell>
          <cell r="E1012">
            <v>40090</v>
          </cell>
          <cell r="F1012">
            <v>9.6</v>
          </cell>
          <cell r="G1012">
            <v>39690</v>
          </cell>
          <cell r="H1012">
            <v>35810</v>
          </cell>
          <cell r="I1012">
            <v>3880</v>
          </cell>
          <cell r="J1012">
            <v>9.7667699698489088</v>
          </cell>
        </row>
        <row r="1013">
          <cell r="B1013" t="str">
            <v>CN5300704</v>
          </cell>
          <cell r="C1013">
            <v>35540</v>
          </cell>
          <cell r="D1013">
            <v>3460</v>
          </cell>
          <cell r="E1013">
            <v>39000</v>
          </cell>
          <cell r="F1013">
            <v>8.9</v>
          </cell>
          <cell r="G1013">
            <v>39520</v>
          </cell>
          <cell r="H1013">
            <v>35740</v>
          </cell>
          <cell r="I1013">
            <v>3770</v>
          </cell>
          <cell r="J1013">
            <v>9.5449886753299342</v>
          </cell>
        </row>
        <row r="1014">
          <cell r="B1014" t="str">
            <v>CN5300705</v>
          </cell>
          <cell r="C1014">
            <v>36050</v>
          </cell>
          <cell r="D1014">
            <v>3510</v>
          </cell>
          <cell r="E1014">
            <v>39560</v>
          </cell>
          <cell r="F1014">
            <v>8.9</v>
          </cell>
          <cell r="G1014">
            <v>39520</v>
          </cell>
          <cell r="H1014">
            <v>35800</v>
          </cell>
          <cell r="I1014">
            <v>3720</v>
          </cell>
          <cell r="J1014">
            <v>9.4110384122984119</v>
          </cell>
        </row>
        <row r="1015">
          <cell r="B1015" t="str">
            <v>CN5300706</v>
          </cell>
          <cell r="C1015">
            <v>41210</v>
          </cell>
          <cell r="D1015">
            <v>3370</v>
          </cell>
          <cell r="E1015">
            <v>44580</v>
          </cell>
          <cell r="F1015">
            <v>7.6</v>
          </cell>
          <cell r="G1015">
            <v>40370</v>
          </cell>
          <cell r="H1015">
            <v>36700</v>
          </cell>
          <cell r="I1015">
            <v>3660</v>
          </cell>
          <cell r="J1015">
            <v>9.0719163659485211</v>
          </cell>
        </row>
        <row r="1016">
          <cell r="B1016" t="str">
            <v>CN5300707</v>
          </cell>
          <cell r="C1016">
            <v>45780</v>
          </cell>
          <cell r="D1016">
            <v>3050</v>
          </cell>
          <cell r="E1016">
            <v>48830</v>
          </cell>
          <cell r="F1016">
            <v>6.2</v>
          </cell>
          <cell r="G1016">
            <v>41580</v>
          </cell>
          <cell r="H1016">
            <v>38000</v>
          </cell>
          <cell r="I1016">
            <v>3570</v>
          </cell>
          <cell r="J1016">
            <v>8.5980531283608954</v>
          </cell>
        </row>
        <row r="1017">
          <cell r="B1017" t="str">
            <v>CN5300708</v>
          </cell>
          <cell r="C1017" t="str">
            <v/>
          </cell>
          <cell r="D1017" t="str">
            <v/>
          </cell>
          <cell r="E1017" t="e">
            <v>#VALUE!</v>
          </cell>
          <cell r="F1017" t="str">
            <v/>
          </cell>
          <cell r="G1017" t="str">
            <v/>
          </cell>
          <cell r="H1017" t="str">
            <v/>
          </cell>
          <cell r="I1017" t="str">
            <v/>
          </cell>
          <cell r="J1017" t="str">
            <v/>
          </cell>
        </row>
        <row r="1018">
          <cell r="B1018" t="str">
            <v>CN5300709</v>
          </cell>
          <cell r="C1018" t="str">
            <v/>
          </cell>
          <cell r="D1018" t="str">
            <v/>
          </cell>
          <cell r="E1018" t="e">
            <v>#VALUE!</v>
          </cell>
          <cell r="F1018" t="str">
            <v/>
          </cell>
          <cell r="G1018" t="str">
            <v/>
          </cell>
          <cell r="H1018" t="str">
            <v/>
          </cell>
          <cell r="I1018" t="str">
            <v/>
          </cell>
          <cell r="J1018" t="str">
            <v/>
          </cell>
        </row>
        <row r="1019">
          <cell r="B1019" t="str">
            <v>CN53007010</v>
          </cell>
          <cell r="C1019" t="str">
            <v/>
          </cell>
          <cell r="D1019" t="str">
            <v/>
          </cell>
          <cell r="E1019" t="e">
            <v>#VALUE!</v>
          </cell>
          <cell r="F1019" t="str">
            <v/>
          </cell>
          <cell r="G1019" t="str">
            <v/>
          </cell>
          <cell r="H1019" t="str">
            <v/>
          </cell>
          <cell r="I1019" t="str">
            <v/>
          </cell>
          <cell r="J1019" t="str">
            <v/>
          </cell>
        </row>
        <row r="1020">
          <cell r="B1020" t="str">
            <v>CN53007011</v>
          </cell>
          <cell r="C1020" t="str">
            <v/>
          </cell>
          <cell r="D1020" t="str">
            <v/>
          </cell>
          <cell r="E1020" t="e">
            <v>#VALUE!</v>
          </cell>
          <cell r="F1020" t="str">
            <v/>
          </cell>
          <cell r="G1020" t="str">
            <v/>
          </cell>
          <cell r="H1020" t="str">
            <v/>
          </cell>
          <cell r="I1020" t="str">
            <v/>
          </cell>
          <cell r="J1020" t="str">
            <v/>
          </cell>
        </row>
        <row r="1021">
          <cell r="B1021" t="str">
            <v>CN53007012</v>
          </cell>
          <cell r="C1021" t="str">
            <v/>
          </cell>
          <cell r="D1021" t="str">
            <v/>
          </cell>
          <cell r="E1021" t="e">
            <v>#VALUE!</v>
          </cell>
          <cell r="F1021" t="str">
            <v/>
          </cell>
          <cell r="G1021" t="str">
            <v/>
          </cell>
          <cell r="H1021" t="str">
            <v/>
          </cell>
          <cell r="I1021" t="str">
            <v/>
          </cell>
          <cell r="J1021" t="str">
            <v/>
          </cell>
        </row>
        <row r="1022">
          <cell r="B1022" t="str">
            <v>CN5300301</v>
          </cell>
          <cell r="C1022">
            <v>9220</v>
          </cell>
          <cell r="D1022">
            <v>1070</v>
          </cell>
          <cell r="E1022">
            <v>10290</v>
          </cell>
          <cell r="F1022">
            <v>10.4</v>
          </cell>
          <cell r="G1022">
            <v>10280</v>
          </cell>
          <cell r="H1022">
            <v>9220</v>
          </cell>
          <cell r="I1022">
            <v>1070</v>
          </cell>
          <cell r="J1022">
            <v>10.4</v>
          </cell>
        </row>
        <row r="1023">
          <cell r="B1023" t="str">
            <v>CN5300302</v>
          </cell>
          <cell r="C1023">
            <v>9260</v>
          </cell>
          <cell r="D1023">
            <v>1040</v>
          </cell>
          <cell r="E1023">
            <v>10300</v>
          </cell>
          <cell r="F1023">
            <v>10.1</v>
          </cell>
          <cell r="G1023">
            <v>10290</v>
          </cell>
          <cell r="H1023">
            <v>9240</v>
          </cell>
          <cell r="I1023">
            <v>1050</v>
          </cell>
          <cell r="J1023">
            <v>10.214296127119878</v>
          </cell>
        </row>
        <row r="1024">
          <cell r="B1024" t="str">
            <v>CN5300303</v>
          </cell>
          <cell r="C1024">
            <v>9280</v>
          </cell>
          <cell r="D1024">
            <v>930</v>
          </cell>
          <cell r="E1024">
            <v>10210</v>
          </cell>
          <cell r="F1024">
            <v>9.1</v>
          </cell>
          <cell r="G1024">
            <v>10260</v>
          </cell>
          <cell r="H1024">
            <v>9250</v>
          </cell>
          <cell r="I1024">
            <v>1010</v>
          </cell>
          <cell r="J1024">
            <v>9.8486324952900652</v>
          </cell>
        </row>
        <row r="1025">
          <cell r="B1025" t="str">
            <v>CN5300304</v>
          </cell>
          <cell r="C1025">
            <v>9280</v>
          </cell>
          <cell r="D1025">
            <v>920</v>
          </cell>
          <cell r="E1025">
            <v>10200</v>
          </cell>
          <cell r="F1025">
            <v>9</v>
          </cell>
          <cell r="G1025">
            <v>10250</v>
          </cell>
          <cell r="H1025">
            <v>9260</v>
          </cell>
          <cell r="I1025">
            <v>990</v>
          </cell>
          <cell r="J1025">
            <v>9.6401122361839704</v>
          </cell>
        </row>
        <row r="1026">
          <cell r="B1026" t="str">
            <v>CN5300305</v>
          </cell>
          <cell r="C1026">
            <v>9430</v>
          </cell>
          <cell r="D1026">
            <v>790</v>
          </cell>
          <cell r="E1026">
            <v>10220</v>
          </cell>
          <cell r="F1026">
            <v>7.7</v>
          </cell>
          <cell r="G1026">
            <v>10240</v>
          </cell>
          <cell r="H1026">
            <v>9290</v>
          </cell>
          <cell r="I1026">
            <v>950</v>
          </cell>
          <cell r="J1026">
            <v>9.2503613422399305</v>
          </cell>
        </row>
        <row r="1027">
          <cell r="B1027" t="str">
            <v>CN5300306</v>
          </cell>
          <cell r="C1027">
            <v>9070</v>
          </cell>
          <cell r="D1027">
            <v>920</v>
          </cell>
          <cell r="E1027">
            <v>9990</v>
          </cell>
          <cell r="F1027">
            <v>9.1999999999999993</v>
          </cell>
          <cell r="G1027">
            <v>10200</v>
          </cell>
          <cell r="H1027">
            <v>9260</v>
          </cell>
          <cell r="I1027">
            <v>940</v>
          </cell>
          <cell r="J1027">
            <v>9.2387396221481328</v>
          </cell>
        </row>
        <row r="1028">
          <cell r="B1028" t="str">
            <v>CN5300307</v>
          </cell>
          <cell r="C1028">
            <v>8820</v>
          </cell>
          <cell r="D1028">
            <v>660</v>
          </cell>
          <cell r="E1028">
            <v>9480</v>
          </cell>
          <cell r="F1028">
            <v>7</v>
          </cell>
          <cell r="G1028">
            <v>10100</v>
          </cell>
          <cell r="H1028">
            <v>9190</v>
          </cell>
          <cell r="I1028">
            <v>900</v>
          </cell>
          <cell r="J1028">
            <v>8.9329427912439332</v>
          </cell>
        </row>
        <row r="1029">
          <cell r="B1029" t="str">
            <v>CN5300308</v>
          </cell>
          <cell r="C1029" t="str">
            <v/>
          </cell>
          <cell r="D1029" t="str">
            <v/>
          </cell>
          <cell r="E1029" t="e">
            <v>#VALUE!</v>
          </cell>
          <cell r="F1029" t="str">
            <v/>
          </cell>
          <cell r="G1029" t="str">
            <v/>
          </cell>
          <cell r="H1029" t="str">
            <v/>
          </cell>
          <cell r="I1029" t="str">
            <v/>
          </cell>
          <cell r="J1029" t="str">
            <v/>
          </cell>
        </row>
        <row r="1030">
          <cell r="B1030" t="str">
            <v>CN5300309</v>
          </cell>
          <cell r="C1030" t="str">
            <v/>
          </cell>
          <cell r="D1030" t="str">
            <v/>
          </cell>
          <cell r="E1030" t="e">
            <v>#VALUE!</v>
          </cell>
          <cell r="F1030" t="str">
            <v/>
          </cell>
          <cell r="G1030" t="str">
            <v/>
          </cell>
          <cell r="H1030" t="str">
            <v/>
          </cell>
          <cell r="I1030" t="str">
            <v/>
          </cell>
          <cell r="J1030" t="str">
            <v/>
          </cell>
        </row>
        <row r="1031">
          <cell r="B1031" t="str">
            <v>CN53003010</v>
          </cell>
          <cell r="C1031" t="str">
            <v/>
          </cell>
          <cell r="D1031" t="str">
            <v/>
          </cell>
          <cell r="E1031" t="e">
            <v>#VALUE!</v>
          </cell>
          <cell r="F1031" t="str">
            <v/>
          </cell>
          <cell r="G1031" t="str">
            <v/>
          </cell>
          <cell r="H1031" t="str">
            <v/>
          </cell>
          <cell r="I1031" t="str">
            <v/>
          </cell>
          <cell r="J1031" t="str">
            <v/>
          </cell>
        </row>
        <row r="1032">
          <cell r="B1032" t="str">
            <v>CN53003011</v>
          </cell>
          <cell r="C1032" t="str">
            <v/>
          </cell>
          <cell r="D1032" t="str">
            <v/>
          </cell>
          <cell r="E1032" t="e">
            <v>#VALUE!</v>
          </cell>
          <cell r="F1032" t="str">
            <v/>
          </cell>
          <cell r="G1032" t="str">
            <v/>
          </cell>
          <cell r="H1032" t="str">
            <v/>
          </cell>
          <cell r="I1032" t="str">
            <v/>
          </cell>
          <cell r="J1032" t="str">
            <v/>
          </cell>
        </row>
        <row r="1033">
          <cell r="B1033" t="str">
            <v>CN53003012</v>
          </cell>
          <cell r="C1033" t="str">
            <v/>
          </cell>
          <cell r="D1033" t="str">
            <v/>
          </cell>
          <cell r="E1033" t="e">
            <v>#VALUE!</v>
          </cell>
          <cell r="F1033" t="str">
            <v/>
          </cell>
          <cell r="G1033" t="str">
            <v/>
          </cell>
          <cell r="H1033" t="str">
            <v/>
          </cell>
          <cell r="I1033" t="str">
            <v/>
          </cell>
          <cell r="J1033" t="str">
            <v/>
          </cell>
        </row>
        <row r="1034">
          <cell r="B1034" t="str">
            <v>CN5300101</v>
          </cell>
          <cell r="C1034">
            <v>7120</v>
          </cell>
          <cell r="D1034">
            <v>1210</v>
          </cell>
          <cell r="E1034">
            <v>8330</v>
          </cell>
          <cell r="F1034">
            <v>14.5</v>
          </cell>
          <cell r="G1034">
            <v>8330</v>
          </cell>
          <cell r="H1034">
            <v>7120</v>
          </cell>
          <cell r="I1034">
            <v>1210</v>
          </cell>
          <cell r="J1034">
            <v>14.5</v>
          </cell>
        </row>
        <row r="1035">
          <cell r="B1035" t="str">
            <v>CN5300102</v>
          </cell>
          <cell r="C1035">
            <v>7080</v>
          </cell>
          <cell r="D1035">
            <v>960</v>
          </cell>
          <cell r="E1035">
            <v>8040</v>
          </cell>
          <cell r="F1035">
            <v>11.9</v>
          </cell>
          <cell r="G1035">
            <v>8180</v>
          </cell>
          <cell r="H1035">
            <v>7100</v>
          </cell>
          <cell r="I1035">
            <v>1080</v>
          </cell>
          <cell r="J1035">
            <v>13.23718144594512</v>
          </cell>
        </row>
        <row r="1036">
          <cell r="B1036" t="str">
            <v>CN5300103</v>
          </cell>
          <cell r="C1036">
            <v>7360</v>
          </cell>
          <cell r="D1036">
            <v>820</v>
          </cell>
          <cell r="E1036">
            <v>8180</v>
          </cell>
          <cell r="F1036">
            <v>10</v>
          </cell>
          <cell r="G1036">
            <v>8180</v>
          </cell>
          <cell r="H1036">
            <v>7190</v>
          </cell>
          <cell r="I1036">
            <v>1000</v>
          </cell>
          <cell r="J1036">
            <v>12.169484620085557</v>
          </cell>
        </row>
        <row r="1037">
          <cell r="B1037" t="str">
            <v>CN5300104</v>
          </cell>
          <cell r="C1037">
            <v>7670</v>
          </cell>
          <cell r="D1037">
            <v>690</v>
          </cell>
          <cell r="E1037">
            <v>8360</v>
          </cell>
          <cell r="F1037">
            <v>8.1999999999999993</v>
          </cell>
          <cell r="G1037">
            <v>8220</v>
          </cell>
          <cell r="H1037">
            <v>7310</v>
          </cell>
          <cell r="I1037">
            <v>920</v>
          </cell>
          <cell r="J1037">
            <v>11.173591902489436</v>
          </cell>
        </row>
        <row r="1038">
          <cell r="B1038" t="str">
            <v>CN5300105</v>
          </cell>
          <cell r="C1038">
            <v>7690</v>
          </cell>
          <cell r="D1038">
            <v>680</v>
          </cell>
          <cell r="E1038">
            <v>8370</v>
          </cell>
          <cell r="F1038">
            <v>8.1</v>
          </cell>
          <cell r="G1038">
            <v>8250</v>
          </cell>
          <cell r="H1038">
            <v>7380</v>
          </cell>
          <cell r="I1038">
            <v>870</v>
          </cell>
          <cell r="J1038">
            <v>10.550803305304481</v>
          </cell>
        </row>
        <row r="1039">
          <cell r="B1039" t="str">
            <v>CN5300106</v>
          </cell>
          <cell r="C1039">
            <v>8060</v>
          </cell>
          <cell r="D1039">
            <v>690</v>
          </cell>
          <cell r="E1039">
            <v>8750</v>
          </cell>
          <cell r="F1039">
            <v>7.9</v>
          </cell>
          <cell r="G1039">
            <v>8340</v>
          </cell>
          <cell r="H1039">
            <v>7500</v>
          </cell>
          <cell r="I1039">
            <v>840</v>
          </cell>
          <cell r="J1039">
            <v>10.07978244786147</v>
          </cell>
        </row>
        <row r="1040">
          <cell r="B1040" t="str">
            <v>CN5300107</v>
          </cell>
          <cell r="C1040">
            <v>8350</v>
          </cell>
          <cell r="D1040">
            <v>690</v>
          </cell>
          <cell r="E1040">
            <v>9040</v>
          </cell>
          <cell r="F1040">
            <v>7.7</v>
          </cell>
          <cell r="G1040">
            <v>8440</v>
          </cell>
          <cell r="H1040">
            <v>7620</v>
          </cell>
          <cell r="I1040">
            <v>820</v>
          </cell>
          <cell r="J1040">
            <v>9.7107927799790037</v>
          </cell>
        </row>
        <row r="1041">
          <cell r="B1041" t="str">
            <v>CN5300108</v>
          </cell>
          <cell r="C1041" t="str">
            <v/>
          </cell>
          <cell r="D1041" t="str">
            <v/>
          </cell>
          <cell r="E1041" t="e">
            <v>#VALUE!</v>
          </cell>
          <cell r="F1041" t="str">
            <v/>
          </cell>
          <cell r="G1041" t="str">
            <v/>
          </cell>
          <cell r="H1041" t="str">
            <v/>
          </cell>
          <cell r="I1041" t="str">
            <v/>
          </cell>
          <cell r="J1041" t="str">
            <v/>
          </cell>
        </row>
        <row r="1042">
          <cell r="B1042" t="str">
            <v>CN5300109</v>
          </cell>
          <cell r="C1042" t="str">
            <v/>
          </cell>
          <cell r="D1042" t="str">
            <v/>
          </cell>
          <cell r="E1042" t="e">
            <v>#VALUE!</v>
          </cell>
          <cell r="F1042" t="str">
            <v/>
          </cell>
          <cell r="G1042" t="str">
            <v/>
          </cell>
          <cell r="H1042" t="str">
            <v/>
          </cell>
          <cell r="I1042" t="str">
            <v/>
          </cell>
          <cell r="J1042" t="str">
            <v/>
          </cell>
        </row>
        <row r="1043">
          <cell r="B1043" t="str">
            <v>CN53001010</v>
          </cell>
          <cell r="C1043" t="str">
            <v/>
          </cell>
          <cell r="D1043" t="str">
            <v/>
          </cell>
          <cell r="E1043" t="e">
            <v>#VALUE!</v>
          </cell>
          <cell r="F1043" t="str">
            <v/>
          </cell>
          <cell r="G1043" t="str">
            <v/>
          </cell>
          <cell r="H1043" t="str">
            <v/>
          </cell>
          <cell r="I1043" t="str">
            <v/>
          </cell>
          <cell r="J1043" t="str">
            <v/>
          </cell>
        </row>
        <row r="1044">
          <cell r="B1044" t="str">
            <v>CN53001011</v>
          </cell>
          <cell r="C1044" t="str">
            <v/>
          </cell>
          <cell r="D1044" t="str">
            <v/>
          </cell>
          <cell r="E1044" t="e">
            <v>#VALUE!</v>
          </cell>
          <cell r="F1044" t="str">
            <v/>
          </cell>
          <cell r="G1044" t="str">
            <v/>
          </cell>
          <cell r="H1044" t="str">
            <v/>
          </cell>
          <cell r="I1044" t="str">
            <v/>
          </cell>
          <cell r="J1044" t="str">
            <v/>
          </cell>
        </row>
        <row r="1045">
          <cell r="B1045" t="str">
            <v>CN53001012</v>
          </cell>
          <cell r="C1045" t="str">
            <v/>
          </cell>
          <cell r="D1045" t="str">
            <v/>
          </cell>
          <cell r="E1045" t="e">
            <v>#VALUE!</v>
          </cell>
          <cell r="F1045" t="str">
            <v/>
          </cell>
          <cell r="G1045" t="str">
            <v/>
          </cell>
          <cell r="H1045" t="str">
            <v/>
          </cell>
          <cell r="I1045" t="str">
            <v/>
          </cell>
          <cell r="J1045" t="str">
            <v/>
          </cell>
        </row>
        <row r="1046">
          <cell r="B1046" t="str">
            <v>CA5350001</v>
          </cell>
          <cell r="C1046">
            <v>2041520</v>
          </cell>
          <cell r="D1046">
            <v>206090</v>
          </cell>
          <cell r="E1046">
            <v>2247610</v>
          </cell>
          <cell r="F1046">
            <v>9.1999999999999993</v>
          </cell>
          <cell r="G1046">
            <v>2247610</v>
          </cell>
          <cell r="H1046">
            <v>2041520</v>
          </cell>
          <cell r="I1046">
            <v>206090</v>
          </cell>
          <cell r="J1046">
            <v>9.1999999999999993</v>
          </cell>
        </row>
        <row r="1047">
          <cell r="B1047" t="str">
            <v>CA5350002</v>
          </cell>
          <cell r="C1047">
            <v>2046260</v>
          </cell>
          <cell r="D1047">
            <v>210660</v>
          </cell>
          <cell r="E1047">
            <v>2256920</v>
          </cell>
          <cell r="F1047">
            <v>9.3000000000000007</v>
          </cell>
          <cell r="G1047">
            <v>2252260</v>
          </cell>
          <cell r="H1047">
            <v>2043890</v>
          </cell>
          <cell r="I1047">
            <v>208370</v>
          </cell>
          <cell r="J1047">
            <v>9.2517108891961861</v>
          </cell>
        </row>
        <row r="1048">
          <cell r="B1048" t="str">
            <v>CA5350003</v>
          </cell>
          <cell r="C1048">
            <v>2042770</v>
          </cell>
          <cell r="D1048">
            <v>208240</v>
          </cell>
          <cell r="E1048">
            <v>2251010</v>
          </cell>
          <cell r="F1048">
            <v>9.3000000000000007</v>
          </cell>
          <cell r="G1048">
            <v>2251850</v>
          </cell>
          <cell r="H1048">
            <v>2043520</v>
          </cell>
          <cell r="I1048">
            <v>208330</v>
          </cell>
          <cell r="J1048">
            <v>9.2514360446655974</v>
          </cell>
        </row>
        <row r="1049">
          <cell r="B1049" t="str">
            <v>CA5350004</v>
          </cell>
          <cell r="C1049">
            <v>2028330</v>
          </cell>
          <cell r="D1049">
            <v>190650</v>
          </cell>
          <cell r="E1049">
            <v>2218980</v>
          </cell>
          <cell r="F1049">
            <v>8.6</v>
          </cell>
          <cell r="G1049">
            <v>2243630</v>
          </cell>
          <cell r="H1049">
            <v>2039720</v>
          </cell>
          <cell r="I1049">
            <v>203910</v>
          </cell>
          <cell r="J1049">
            <v>9.0882854984044243</v>
          </cell>
        </row>
        <row r="1050">
          <cell r="B1050" t="str">
            <v>CA5350005</v>
          </cell>
          <cell r="C1050">
            <v>2040140</v>
          </cell>
          <cell r="D1050">
            <v>190600</v>
          </cell>
          <cell r="E1050">
            <v>2230740</v>
          </cell>
          <cell r="F1050">
            <v>8.5</v>
          </cell>
          <cell r="G1050">
            <v>2241050</v>
          </cell>
          <cell r="H1050">
            <v>2039800</v>
          </cell>
          <cell r="I1050">
            <v>201250</v>
          </cell>
          <cell r="J1050">
            <v>8.979952964896448</v>
          </cell>
        </row>
        <row r="1051">
          <cell r="B1051" t="str">
            <v>CA5350006</v>
          </cell>
          <cell r="C1051">
            <v>2025780</v>
          </cell>
          <cell r="D1051">
            <v>205010</v>
          </cell>
          <cell r="E1051">
            <v>2230790</v>
          </cell>
          <cell r="F1051">
            <v>9.1999999999999993</v>
          </cell>
          <cell r="G1051">
            <v>2239340</v>
          </cell>
          <cell r="H1051">
            <v>2037470</v>
          </cell>
          <cell r="I1051">
            <v>201870</v>
          </cell>
          <cell r="J1051">
            <v>9.0148389004018732</v>
          </cell>
        </row>
        <row r="1052">
          <cell r="B1052" t="str">
            <v>CA5350007</v>
          </cell>
          <cell r="C1052">
            <v>2017120</v>
          </cell>
          <cell r="D1052">
            <v>199910</v>
          </cell>
          <cell r="E1052">
            <v>2217030</v>
          </cell>
          <cell r="F1052">
            <v>9</v>
          </cell>
          <cell r="G1052">
            <v>2236150</v>
          </cell>
          <cell r="H1052">
            <v>2034560</v>
          </cell>
          <cell r="I1052">
            <v>201590</v>
          </cell>
          <cell r="J1052">
            <v>9.0151551159568495</v>
          </cell>
        </row>
        <row r="1053">
          <cell r="B1053" t="str">
            <v>CA5350008</v>
          </cell>
          <cell r="C1053" t="str">
            <v/>
          </cell>
          <cell r="D1053" t="str">
            <v/>
          </cell>
          <cell r="E1053" t="e">
            <v>#VALUE!</v>
          </cell>
          <cell r="F1053" t="str">
            <v/>
          </cell>
          <cell r="G1053" t="str">
            <v/>
          </cell>
          <cell r="H1053" t="str">
            <v/>
          </cell>
          <cell r="I1053" t="str">
            <v/>
          </cell>
          <cell r="J1053" t="str">
            <v/>
          </cell>
        </row>
        <row r="1054">
          <cell r="B1054" t="str">
            <v>CA5350009</v>
          </cell>
          <cell r="C1054" t="str">
            <v/>
          </cell>
          <cell r="D1054" t="str">
            <v/>
          </cell>
          <cell r="E1054" t="e">
            <v>#VALUE!</v>
          </cell>
          <cell r="F1054" t="str">
            <v/>
          </cell>
          <cell r="G1054" t="str">
            <v/>
          </cell>
          <cell r="H1054" t="str">
            <v/>
          </cell>
          <cell r="I1054" t="str">
            <v/>
          </cell>
          <cell r="J1054" t="str">
            <v/>
          </cell>
        </row>
        <row r="1055">
          <cell r="B1055" t="str">
            <v>CA53500010</v>
          </cell>
          <cell r="C1055" t="str">
            <v/>
          </cell>
          <cell r="D1055" t="str">
            <v/>
          </cell>
          <cell r="E1055" t="e">
            <v>#VALUE!</v>
          </cell>
          <cell r="F1055" t="str">
            <v/>
          </cell>
          <cell r="G1055" t="str">
            <v/>
          </cell>
          <cell r="H1055" t="str">
            <v/>
          </cell>
          <cell r="I1055" t="str">
            <v/>
          </cell>
          <cell r="J1055" t="str">
            <v/>
          </cell>
        </row>
        <row r="1056">
          <cell r="B1056" t="str">
            <v>CA53500011</v>
          </cell>
          <cell r="C1056" t="str">
            <v/>
          </cell>
          <cell r="D1056" t="str">
            <v/>
          </cell>
          <cell r="E1056" t="e">
            <v>#VALUE!</v>
          </cell>
          <cell r="F1056" t="str">
            <v/>
          </cell>
          <cell r="G1056" t="str">
            <v/>
          </cell>
          <cell r="H1056" t="str">
            <v/>
          </cell>
          <cell r="I1056" t="str">
            <v/>
          </cell>
          <cell r="J1056" t="str">
            <v/>
          </cell>
        </row>
        <row r="1057">
          <cell r="B1057" t="str">
            <v>CA53500012</v>
          </cell>
          <cell r="C1057" t="str">
            <v/>
          </cell>
          <cell r="D1057" t="str">
            <v/>
          </cell>
          <cell r="E1057" t="e">
            <v>#VALUE!</v>
          </cell>
          <cell r="F1057" t="str">
            <v/>
          </cell>
          <cell r="G1057" t="str">
            <v/>
          </cell>
          <cell r="H1057" t="str">
            <v/>
          </cell>
          <cell r="I1057" t="str">
            <v/>
          </cell>
          <cell r="J1057" t="str">
            <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10.xml.rels><?xml version="1.0" encoding="UTF-8" standalone="yes"?>
<Relationships xmlns="http://schemas.openxmlformats.org/package/2006/relationships"><Relationship Id="rId1" Type="http://schemas.openxmlformats.org/officeDocument/2006/relationships/pivotCacheRecords" Target="pivotCacheRecords10.xml"/></Relationships>
</file>

<file path=xl/pivotCache/_rels/pivotCacheDefinition11.xml.rels><?xml version="1.0" encoding="UTF-8" standalone="yes"?>
<Relationships xmlns="http://schemas.openxmlformats.org/package/2006/relationships"><Relationship Id="rId1" Type="http://schemas.openxmlformats.org/officeDocument/2006/relationships/pivotCacheRecords" Target="pivotCacheRecords11.xml"/></Relationships>
</file>

<file path=xl/pivotCache/_rels/pivotCacheDefinition12.xml.rels><?xml version="1.0" encoding="UTF-8" standalone="yes"?>
<Relationships xmlns="http://schemas.openxmlformats.org/package/2006/relationships"><Relationship Id="rId1" Type="http://schemas.openxmlformats.org/officeDocument/2006/relationships/pivotCacheRecords" Target="pivotCacheRecords12.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1" Type="http://schemas.openxmlformats.org/officeDocument/2006/relationships/pivotCacheRecords" Target="pivotCacheRecords8.xml"/></Relationships>
</file>

<file path=xl/pivotCache/_rels/pivotCacheDefinition9.xml.rels><?xml version="1.0" encoding="UTF-8" standalone="yes"?>
<Relationships xmlns="http://schemas.openxmlformats.org/package/2006/relationships"><Relationship Id="rId1" Type="http://schemas.openxmlformats.org/officeDocument/2006/relationships/pivotCacheRecords" Target="pivotCacheRecords9.xml"/></Relationships>
</file>

<file path=xl/pivotCache/pivotCacheDefinition1.xml><?xml version="1.0" encoding="utf-8"?>
<pivotCacheDefinition xmlns="http://schemas.openxmlformats.org/spreadsheetml/2006/main" xmlns:r="http://schemas.openxmlformats.org/officeDocument/2006/relationships" r:id="rId1" refreshedBy="swheeler" refreshedDate="41109.696795717595" backgroundQuery="1" createdVersion="3" refreshedVersion="3" minRefreshableVersion="3" recordCount="12">
  <cacheSource type="external" connectionId="2"/>
  <cacheFields count="5">
    <cacheField name="REGIONID" numFmtId="0">
      <sharedItems containsSemiMixedTypes="0" containsString="0" containsNumber="1" containsInteger="1" minValue="1" maxValue="13" count="13">
        <n v="1"/>
        <n v="10"/>
        <n v="11"/>
        <n v="12"/>
        <n v="2"/>
        <n v="3"/>
        <n v="4"/>
        <n v="5"/>
        <n v="6"/>
        <n v="7"/>
        <n v="8"/>
        <n v="9"/>
        <n v="13" u="1"/>
      </sharedItems>
    </cacheField>
    <cacheField name="MgtIndCountJobSearch_SEEKERID" numFmtId="0">
      <sharedItems containsSemiMixedTypes="0" containsString="0" containsNumber="1" containsInteger="1" minValue="3390" maxValue="11742" count="12">
        <n v="3410"/>
        <n v="3608"/>
        <n v="5352"/>
        <n v="6204"/>
        <n v="5658"/>
        <n v="3390"/>
        <n v="7286"/>
        <n v="11742"/>
        <n v="4724"/>
        <n v="5110"/>
        <n v="8652"/>
        <n v="5984"/>
      </sharedItems>
    </cacheField>
    <cacheField name="MgtIndCountSkillsDev_SEEKERID" numFmtId="0">
      <sharedItems containsSemiMixedTypes="0" containsString="0" containsNumber="1" containsInteger="1" minValue="183" maxValue="1323" count="12">
        <n v="487"/>
        <n v="183"/>
        <n v="197"/>
        <n v="1006"/>
        <n v="416"/>
        <n v="415"/>
        <n v="755"/>
        <n v="1323"/>
        <n v="695"/>
        <n v="442"/>
        <n v="292"/>
        <n v="250"/>
      </sharedItems>
    </cacheField>
    <cacheField name="MgtIndCountAssessment_SEEKERID" numFmtId="0">
      <sharedItems containsSemiMixedTypes="0" containsString="0" containsNumber="1" containsInteger="1" minValue="1914" maxValue="5848" count="12">
        <n v="2045"/>
        <n v="1914"/>
        <n v="2466"/>
        <n v="2354"/>
        <n v="2692"/>
        <n v="2684"/>
        <n v="2111"/>
        <n v="5848"/>
        <n v="3243"/>
        <n v="3383"/>
        <n v="3611"/>
        <n v="3104"/>
      </sharedItems>
    </cacheField>
    <cacheField name="MgtIndCountCommSvcs_SEEKERID" numFmtId="0">
      <sharedItems containsSemiMixedTypes="0" containsString="0" containsNumber="1" containsInteger="1" minValue="7" maxValue="451" count="12">
        <n v="43"/>
        <n v="69"/>
        <n v="130"/>
        <n v="7"/>
        <n v="194"/>
        <n v="72"/>
        <n v="287"/>
        <n v="323"/>
        <n v="60"/>
        <n v="49"/>
        <n v="244"/>
        <n v="451"/>
      </sharedItems>
    </cacheField>
  </cacheFields>
  <extLst>
    <ext xmlns:x14="http://schemas.microsoft.com/office/spreadsheetml/2009/9/main" uri="{725AE2AE-9491-48be-B2B4-4EB974FC3084}">
      <x14:pivotCacheDefinition/>
    </ext>
  </extLst>
</pivotCacheDefinition>
</file>

<file path=xl/pivotCache/pivotCacheDefinition10.xml><?xml version="1.0" encoding="utf-8"?>
<pivotCacheDefinition xmlns="http://schemas.openxmlformats.org/spreadsheetml/2006/main" xmlns:r="http://schemas.openxmlformats.org/officeDocument/2006/relationships" r:id="rId1" refreshedBy="swheeler" refreshedDate="41135.553129398148" backgroundQuery="1" createdVersion="3" refreshedVersion="3" minRefreshableVersion="3" recordCount="12">
  <cacheSource type="external" connectionId="5"/>
  <cacheFields count="9">
    <cacheField name="REGIONID" numFmtId="0">
      <sharedItems containsSemiMixedTypes="0" containsString="0" containsNumber="1" containsInteger="1" minValue="1" maxValue="12" count="12">
        <n v="1"/>
        <n v="2"/>
        <n v="3"/>
        <n v="4"/>
        <n v="5"/>
        <n v="6"/>
        <n v="7"/>
        <n v="8"/>
        <n v="9"/>
        <n v="10"/>
        <n v="11"/>
        <n v="12"/>
      </sharedItems>
    </cacheField>
    <cacheField name="current" numFmtId="0">
      <sharedItems containsSemiMixedTypes="0" containsString="0" containsNumber="1" containsInteger="1" minValue="79" maxValue="2048" count="12">
        <n v="294"/>
        <n v="280"/>
        <n v="345"/>
        <n v="104"/>
        <n v="124"/>
        <n v="79"/>
        <n v="225"/>
        <n v="2048"/>
        <n v="317"/>
        <n v="190"/>
        <n v="772"/>
        <n v="166"/>
      </sharedItems>
    </cacheField>
    <cacheField name="Lastyear" numFmtId="0">
      <sharedItems containsSemiMixedTypes="0" containsString="0" containsNumber="1" containsInteger="1" minValue="104" maxValue="2738" count="12">
        <n v="774"/>
        <n v="406"/>
        <n v="263"/>
        <n v="139"/>
        <n v="164"/>
        <n v="169"/>
        <n v="445"/>
        <n v="2738"/>
        <n v="434"/>
        <n v="537"/>
        <n v="706"/>
        <n v="104"/>
      </sharedItems>
    </cacheField>
    <cacheField name="CurrentSalary" numFmtId="0">
      <sharedItems containsSemiMixedTypes="0" containsString="0" containsNumber="1" minValue="9.48" maxValue="14.57" count="12">
        <n v="11.46"/>
        <n v="11.56"/>
        <n v="10.86"/>
        <n v="13.08"/>
        <n v="11.35"/>
        <n v="14.57"/>
        <n v="12.89"/>
        <n v="9.56"/>
        <n v="9.48"/>
        <n v="11.03"/>
        <n v="9.52"/>
        <n v="10.54"/>
      </sharedItems>
    </cacheField>
    <cacheField name="Lastyearsalary" numFmtId="0">
      <sharedItems containsSemiMixedTypes="0" containsString="0" containsNumber="1" minValue="9.26" maxValue="12.31" count="12">
        <n v="10.99"/>
        <n v="11.3"/>
        <n v="10.52"/>
        <n v="12.14"/>
        <n v="11.33"/>
        <n v="10.8"/>
        <n v="12.31"/>
        <n v="9.7899999999999991"/>
        <n v="9.26"/>
        <n v="10.130000000000001"/>
        <n v="9.9499999999999993"/>
        <n v="11.7"/>
      </sharedItems>
    </cacheField>
    <cacheField name="CurrentJOs" numFmtId="0">
      <sharedItems containsSemiMixedTypes="0" containsString="0" containsNumber="1" minValue="9.6833411214953422" maxValue="14.005718749999991" count="12">
        <n v="11.675911949685526"/>
        <n v="11.51985212569315"/>
        <n v="12.005409252669036"/>
        <n v="12.35620087336244"/>
        <n v="12.578514619883043"/>
        <n v="14.005718749999991"/>
        <n v="12.883012048192766"/>
        <n v="9.6833411214953422"/>
        <n v="9.7293387755102039"/>
        <n v="12.198549222797919"/>
        <n v="10.369852008456672"/>
        <n v="11.95606598984771"/>
      </sharedItems>
    </cacheField>
    <cacheField name="LastYears" numFmtId="0">
      <sharedItems containsSemiMixedTypes="0" containsString="0" containsNumber="1" minValue="9.702373923739243" maxValue="13.019763560500694" count="12">
        <n v="11.31060906515582"/>
        <n v="10.905352601156078"/>
        <n v="11.646857142857149"/>
        <n v="11.461564455569466"/>
        <n v="12.958377088305493"/>
        <n v="13.019763560500694"/>
        <n v="12.369439461883408"/>
        <n v="10.062747658945256"/>
        <n v="9.702373923739243"/>
        <n v="11.102662251655627"/>
        <n v="10.847573812580231"/>
        <n v="12.274135977337117"/>
      </sharedItems>
    </cacheField>
    <cacheField name="NAICSCurrent" numFmtId="0">
      <sharedItems containsSemiMixedTypes="0" containsString="0" containsNumber="1" containsInteger="1" minValue="38" maxValue="4666" count="12">
        <n v="249"/>
        <n v="505"/>
        <n v="98"/>
        <n v="481"/>
        <n v="4666"/>
        <n v="663"/>
        <n v="252"/>
        <n v="207"/>
        <n v="239"/>
        <n v="38"/>
        <n v="242"/>
        <n v="260"/>
      </sharedItems>
    </cacheField>
    <cacheField name="NAICSPREVIOUS" numFmtId="0">
      <sharedItems containsSemiMixedTypes="0" containsString="0" containsNumber="1" containsInteger="1" minValue="32" maxValue="4000" count="11">
        <n v="229"/>
        <n v="383"/>
        <n v="131"/>
        <n v="441"/>
        <n v="4000"/>
        <n v="597"/>
        <n v="152"/>
        <n v="172"/>
        <n v="189"/>
        <n v="32"/>
        <n v="267"/>
      </sharedItems>
    </cacheField>
  </cacheFields>
  <extLst>
    <ext xmlns:x14="http://schemas.microsoft.com/office/spreadsheetml/2009/9/main" uri="{725AE2AE-9491-48be-B2B4-4EB974FC3084}">
      <x14:pivotCacheDefinition/>
    </ext>
  </extLst>
</pivotCacheDefinition>
</file>

<file path=xl/pivotCache/pivotCacheDefinition11.xml><?xml version="1.0" encoding="utf-8"?>
<pivotCacheDefinition xmlns="http://schemas.openxmlformats.org/spreadsheetml/2006/main" xmlns:r="http://schemas.openxmlformats.org/officeDocument/2006/relationships" r:id="rId1" refreshedBy="swheeler" refreshedDate="41135.554735995371" backgroundQuery="1" createdVersion="3" refreshedVersion="3" minRefreshableVersion="3" recordCount="1">
  <cacheSource type="external" connectionId="13"/>
  <cacheFields count="8">
    <cacheField name="current" numFmtId="0">
      <sharedItems containsSemiMixedTypes="0" containsString="0" containsNumber="1" containsInteger="1" minValue="4944" maxValue="4944" count="1">
        <n v="4944"/>
      </sharedItems>
    </cacheField>
    <cacheField name="Lastyear" numFmtId="0">
      <sharedItems containsSemiMixedTypes="0" containsString="0" containsNumber="1" containsInteger="1" minValue="6879" maxValue="6879" count="1">
        <n v="6879"/>
      </sharedItems>
    </cacheField>
    <cacheField name="CurrentSalary" numFmtId="0">
      <sharedItems containsSemiMixedTypes="0" containsString="0" containsNumber="1" minValue="10.35" maxValue="10.35" count="1">
        <n v="10.35"/>
      </sharedItems>
    </cacheField>
    <cacheField name="Lastyearsalary" numFmtId="0">
      <sharedItems containsSemiMixedTypes="0" containsString="0" containsNumber="1" minValue="10.37" maxValue="10.37" count="1">
        <n v="10.37"/>
      </sharedItems>
    </cacheField>
    <cacheField name="CurrentJOs" numFmtId="0">
      <sharedItems containsSemiMixedTypes="0" containsString="0" containsNumber="1" minValue="10.766464351716676" maxValue="10.766464351716676" count="1">
        <n v="10.766464351716676"/>
      </sharedItems>
    </cacheField>
    <cacheField name="LastYears" numFmtId="0">
      <sharedItems containsSemiMixedTypes="0" containsString="0" containsNumber="1" minValue="11.000742380828223" maxValue="11.000742380828223" count="1">
        <n v="11.000742380828223"/>
      </sharedItems>
    </cacheField>
    <cacheField name="JOB_ORDER_ID" numFmtId="0">
      <sharedItems containsSemiMixedTypes="0" containsString="0" containsNumber="1" containsInteger="1" minValue="5065" maxValue="5065" count="1">
        <n v="5065"/>
      </sharedItems>
    </cacheField>
    <cacheField name="JOB_ORDER_IDLastYear" numFmtId="0">
      <sharedItems containsSemiMixedTypes="0" containsString="0" containsNumber="1" containsInteger="1" minValue="4058" maxValue="4058" count="1">
        <n v="4058"/>
      </sharedItems>
    </cacheField>
  </cacheFields>
  <extLst>
    <ext xmlns:x14="http://schemas.microsoft.com/office/spreadsheetml/2009/9/main" uri="{725AE2AE-9491-48be-B2B4-4EB974FC3084}">
      <x14:pivotCacheDefinition/>
    </ext>
  </extLst>
</pivotCacheDefinition>
</file>

<file path=xl/pivotCache/pivotCacheDefinition12.xml><?xml version="1.0" encoding="utf-8"?>
<pivotCacheDefinition xmlns="http://schemas.openxmlformats.org/spreadsheetml/2006/main" xmlns:r="http://schemas.openxmlformats.org/officeDocument/2006/relationships" r:id="rId1" refreshedBy="swheeler" refreshedDate="41138.401741782407" backgroundQuery="1" createdVersion="3" refreshedVersion="3" minRefreshableVersion="3" recordCount="13">
  <cacheSource type="external" connectionId="4"/>
  <cacheFields count="9">
    <cacheField name="REGIONID" numFmtId="0">
      <sharedItems containsSemiMixedTypes="0" containsString="0" containsNumber="1" containsInteger="1" minValue="1" maxValue="13" count="13">
        <n v="1"/>
        <n v="2"/>
        <n v="3"/>
        <n v="4"/>
        <n v="5"/>
        <n v="6"/>
        <n v="7"/>
        <n v="8"/>
        <n v="9"/>
        <n v="10"/>
        <n v="11"/>
        <n v="12"/>
        <n v="13"/>
      </sharedItems>
    </cacheField>
    <cacheField name="3CountWAJobOrders_JOB_ORDER_ID" numFmtId="0">
      <sharedItems containsSemiMixedTypes="0" containsString="0" containsNumber="1" containsInteger="1" minValue="8" maxValue="856" count="13">
        <n v="379"/>
        <n v="435"/>
        <n v="201"/>
        <n v="502"/>
        <n v="402"/>
        <n v="214"/>
        <n v="597"/>
        <n v="856"/>
        <n v="425"/>
        <n v="366"/>
        <n v="344"/>
        <n v="363"/>
        <n v="8"/>
      </sharedItems>
    </cacheField>
    <cacheField name="3CountWAJobOrders_SumOfJOB OPENINGS" numFmtId="0">
      <sharedItems containsSemiMixedTypes="0" containsString="0" containsNumber="1" containsInteger="1" minValue="290" maxValue="5751" count="13">
        <n v="559"/>
        <n v="739"/>
        <n v="466"/>
        <n v="724"/>
        <n v="1138"/>
        <n v="402"/>
        <n v="679"/>
        <n v="5751"/>
        <n v="1715"/>
        <n v="429"/>
        <n v="1210"/>
        <n v="532"/>
        <n v="290"/>
      </sharedItems>
    </cacheField>
    <cacheField name="3CountOfWAJobOrders1YearAgo_JOB_ORDER_ID" numFmtId="0">
      <sharedItems containsSemiMixedTypes="0" containsString="0" containsNumber="1" containsInteger="1" minValue="1" maxValue="811" count="13">
        <n v="585"/>
        <n v="726"/>
        <n v="327"/>
        <n v="702"/>
        <n v="451"/>
        <n v="372"/>
        <n v="796"/>
        <n v="811"/>
        <n v="410"/>
        <n v="512"/>
        <n v="441"/>
        <n v="500"/>
        <n v="1"/>
      </sharedItems>
    </cacheField>
    <cacheField name="3CountOfWAJobOrders1YearAgo_SumOfJOB OPENINGS" numFmtId="0">
      <sharedItems containsSemiMixedTypes="0" containsString="0" containsNumber="1" containsInteger="1" minValue="1" maxValue="5264" count="13">
        <n v="1085"/>
        <n v="1254"/>
        <n v="430"/>
        <n v="1151"/>
        <n v="1023"/>
        <n v="1013"/>
        <n v="948"/>
        <n v="5264"/>
        <n v="1173"/>
        <n v="803"/>
        <n v="1226"/>
        <n v="613"/>
        <n v="1"/>
      </sharedItems>
    </cacheField>
    <cacheField name="alljos" numFmtId="0">
      <sharedItems containsSemiMixedTypes="0" containsString="0" containsNumber="1" containsInteger="1" minValue="556" maxValue="11440" count="13">
        <n v="1538"/>
        <n v="1759"/>
        <n v="2974"/>
        <n v="2812"/>
        <n v="11440"/>
        <n v="2206"/>
        <n v="1826"/>
        <n v="1419"/>
        <n v="1130"/>
        <n v="556"/>
        <n v="1085"/>
        <n v="2168"/>
        <n v="899"/>
      </sharedItems>
    </cacheField>
    <cacheField name="previousjos" numFmtId="0">
      <sharedItems containsSemiMixedTypes="0" containsString="0" containsNumber="1" containsInteger="1" minValue="668" maxValue="8843" count="13">
        <n v="1341"/>
        <n v="1645"/>
        <n v="2132"/>
        <n v="2941"/>
        <n v="8843"/>
        <n v="1942"/>
        <n v="1642"/>
        <n v="1259"/>
        <n v="1024"/>
        <n v="720"/>
        <n v="1250"/>
        <n v="2133"/>
        <n v="668"/>
      </sharedItems>
    </cacheField>
    <cacheField name="3CountOfEmployersServed_EMPLOYER_ID" numFmtId="0">
      <sharedItems containsSemiMixedTypes="0" containsString="0" containsNumber="1" containsInteger="1" minValue="8" maxValue="1286" count="13">
        <n v="481"/>
        <n v="869"/>
        <n v="699"/>
        <n v="956"/>
        <n v="1286"/>
        <n v="900"/>
        <n v="630"/>
        <n v="920"/>
        <n v="573"/>
        <n v="645"/>
        <n v="568"/>
        <n v="593"/>
        <n v="8"/>
      </sharedItems>
    </cacheField>
    <cacheField name="3CountOfEmployersServed1YearAgo_EMPLOYER_ID" numFmtId="0">
      <sharedItems containsSemiMixedTypes="0" containsString="0" containsNumber="1" containsInteger="1" minValue="9" maxValue="1481" count="13">
        <n v="620"/>
        <n v="1381"/>
        <n v="928"/>
        <n v="1314"/>
        <n v="1481"/>
        <n v="1269"/>
        <n v="695"/>
        <n v="1020"/>
        <n v="668"/>
        <n v="1230"/>
        <n v="629"/>
        <n v="724"/>
        <n v="9"/>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swheeler" refreshedDate="41109.697068981484" backgroundQuery="1" createdVersion="3" refreshedVersion="3" minRefreshableVersion="3" recordCount="12">
  <cacheSource type="external" connectionId="3"/>
  <cacheFields count="9">
    <cacheField name="REGIONID" numFmtId="0">
      <sharedItems containsSemiMixedTypes="0" containsString="0" containsNumber="1" containsInteger="1" minValue="1" maxValue="12" count="12">
        <n v="1"/>
        <n v="10"/>
        <n v="11"/>
        <n v="12"/>
        <n v="2"/>
        <n v="3"/>
        <n v="4"/>
        <n v="5"/>
        <n v="6"/>
        <n v="7"/>
        <n v="8"/>
        <n v="9"/>
      </sharedItems>
    </cacheField>
    <cacheField name="currentprogram" numFmtId="0">
      <sharedItems containsSemiMixedTypes="0" containsString="0" containsNumber="1" containsInteger="1" minValue="449" maxValue="4523" count="12">
        <n v="674"/>
        <n v="4523"/>
        <n v="449"/>
        <n v="1064"/>
        <n v="1733"/>
        <n v="853"/>
        <n v="1905"/>
        <n v="3078"/>
        <n v="1495"/>
        <n v="1500"/>
        <n v="658"/>
        <n v="851"/>
      </sharedItems>
    </cacheField>
    <cacheField name="program1yearago" numFmtId="0">
      <sharedItems containsSemiMixedTypes="0" containsString="0" containsNumber="1" containsInteger="1" minValue="444" maxValue="4750" count="12">
        <n v="859"/>
        <n v="4750"/>
        <n v="444"/>
        <n v="1965"/>
        <n v="1982"/>
        <n v="890"/>
        <n v="1736"/>
        <n v="3379"/>
        <n v="1572"/>
        <n v="2209"/>
        <n v="835"/>
        <n v="1013"/>
      </sharedItems>
    </cacheField>
    <cacheField name="wiacurrent" numFmtId="0">
      <sharedItems containsSemiMixedTypes="0" containsString="0" containsNumber="1" containsInteger="1" minValue="372" maxValue="2149" count="12">
        <n v="457"/>
        <n v="428"/>
        <n v="372"/>
        <n v="819"/>
        <n v="900"/>
        <n v="486"/>
        <n v="1294"/>
        <n v="2149"/>
        <n v="690"/>
        <n v="912"/>
        <n v="522"/>
        <n v="517"/>
      </sharedItems>
    </cacheField>
    <cacheField name="wia1yearago" numFmtId="0">
      <sharedItems containsSemiMixedTypes="0" containsString="0" containsNumber="1" containsInteger="1" minValue="364" maxValue="2193" count="12">
        <n v="497"/>
        <n v="479"/>
        <n v="364"/>
        <n v="926"/>
        <n v="1403"/>
        <n v="481"/>
        <n v="1479"/>
        <n v="2193"/>
        <n v="762"/>
        <n v="1187"/>
        <n v="587"/>
        <n v="785"/>
      </sharedItems>
    </cacheField>
    <cacheField name="wianewcurrent" numFmtId="0">
      <sharedItems containsSemiMixedTypes="0" containsString="0" containsNumber="1" containsInteger="1" minValue="36" maxValue="387" count="11">
        <n v="97"/>
        <n v="110"/>
        <n v="36"/>
        <n v="133"/>
        <n v="90"/>
        <n v="196"/>
        <n v="387"/>
        <n v="151"/>
        <n v="257"/>
        <n v="98"/>
        <n v="40"/>
      </sharedItems>
    </cacheField>
    <cacheField name="wianew1yearago" numFmtId="0">
      <sharedItems containsSemiMixedTypes="0" containsString="0" containsNumber="1" containsInteger="1" minValue="36" maxValue="413" count="11">
        <n v="87"/>
        <n v="94"/>
        <n v="36"/>
        <n v="129"/>
        <n v="111"/>
        <n v="41"/>
        <n v="59"/>
        <n v="413"/>
        <n v="72"/>
        <n v="320"/>
        <n v="79"/>
      </sharedItems>
    </cacheField>
    <cacheField name="wiaexitcurrent" numFmtId="0">
      <sharedItems containsSemiMixedTypes="0" containsString="0" containsNumber="1" containsInteger="1" minValue="52" maxValue="357" count="12">
        <n v="123"/>
        <n v="91"/>
        <n v="115"/>
        <n v="345"/>
        <n v="52"/>
        <n v="79"/>
        <n v="215"/>
        <n v="357"/>
        <n v="102"/>
        <n v="192"/>
        <n v="121"/>
        <n v="211"/>
      </sharedItems>
    </cacheField>
    <cacheField name="wiaexit1yearago" numFmtId="0">
      <sharedItems containsSemiMixedTypes="0" containsString="0" containsNumber="1" containsInteger="1" minValue="151" maxValue="750" count="12">
        <n v="206"/>
        <n v="151"/>
        <n v="181"/>
        <n v="706"/>
        <n v="750"/>
        <n v="182"/>
        <n v="429"/>
        <n v="635"/>
        <n v="543"/>
        <n v="499"/>
        <n v="257"/>
        <n v="483"/>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swheeler" refreshedDate="41109.698259837962" backgroundQuery="1" createdVersion="3" refreshedVersion="3" minRefreshableVersion="3" recordCount="12">
  <cacheSource type="external" connectionId="6"/>
  <cacheFields count="6">
    <cacheField name="REGIONID" numFmtId="0">
      <sharedItems containsSemiMixedTypes="0" containsString="0" containsNumber="1" containsInteger="1" minValue="1" maxValue="12" count="12">
        <n v="1"/>
        <n v="10"/>
        <n v="11"/>
        <n v="12"/>
        <n v="2"/>
        <n v="3"/>
        <n v="4"/>
        <n v="5"/>
        <n v="6"/>
        <n v="7"/>
        <n v="8"/>
        <n v="9"/>
      </sharedItems>
    </cacheField>
    <cacheField name="CountNew" numFmtId="0">
      <sharedItems containsSemiMixedTypes="0" containsString="0" containsNumber="1" containsInteger="1" minValue="2561" maxValue="15184" count="12">
        <n v="3387"/>
        <n v="2561"/>
        <n v="4283"/>
        <n v="5658"/>
        <n v="6036"/>
        <n v="3672"/>
        <n v="7478"/>
        <n v="15184"/>
        <n v="6388"/>
        <n v="5401"/>
        <n v="6896"/>
        <n v="5052"/>
      </sharedItems>
    </cacheField>
    <cacheField name="SERVICEDATE" numFmtId="0">
      <sharedItems containsSemiMixedTypes="0" containsString="0" containsNumber="1" containsInteger="1" minValue="8618" maxValue="36680" count="12">
        <n v="8942"/>
        <n v="9831"/>
        <n v="11500"/>
        <n v="15217"/>
        <n v="16402"/>
        <n v="8618"/>
        <n v="31271"/>
        <n v="36680"/>
        <n v="15735"/>
        <n v="16999"/>
        <n v="19375"/>
        <n v="14885"/>
      </sharedItems>
    </cacheField>
    <cacheField name="OldWages" numFmtId="0">
      <sharedItems containsSemiMixedTypes="0" containsString="0" containsNumber="1" minValue="621.03" maxValue="3226.59" count="12">
        <n v="1542.26"/>
        <n v="1447.88"/>
        <n v="3226.59"/>
        <n v="1427.22"/>
        <n v="1242.6600000000001"/>
        <n v="2721.12"/>
        <n v="796.59"/>
        <n v="758.53"/>
        <n v="621.03"/>
        <n v="1888.03"/>
        <n v="3020.26"/>
        <n v="1425.46"/>
      </sharedItems>
    </cacheField>
    <cacheField name="NewWages" numFmtId="0">
      <sharedItems containsSemiMixedTypes="0" containsString="0" containsNumber="1" minValue="502.19" maxValue="3052.96" count="12">
        <n v="1249.83"/>
        <n v="1249.58"/>
        <n v="3052.96"/>
        <n v="1153.5"/>
        <n v="1026.97"/>
        <n v="2225.06"/>
        <n v="641.57000000000005"/>
        <n v="650.91999999999996"/>
        <n v="502.19"/>
        <n v="1693.87"/>
        <n v="2777.08"/>
        <n v="1250.44"/>
      </sharedItems>
    </cacheField>
    <cacheField name="AvgOfDuration" numFmtId="0">
      <sharedItems containsSemiMixedTypes="0" containsString="0" containsNumber="1" minValue="8.1999999999999993" maxValue="17.760617760617759" count="12">
        <n v="8.9004739336492893"/>
        <n v="11.314285714285715"/>
        <n v="8.1999999999999993"/>
        <n v="15.600490196078431"/>
        <n v="14.678030303030303"/>
        <n v="14.69"/>
        <n v="16.501766784452297"/>
        <n v="15.134812286689419"/>
        <n v="12.844155844155845"/>
        <n v="12"/>
        <n v="14.137254901960784"/>
        <n v="17.760617760617759"/>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r:id="rId1" refreshedBy="swheeler" refreshedDate="41110.418671874999" backgroundQuery="1" createdVersion="3" refreshedVersion="3" minRefreshableVersion="3" recordCount="1">
  <cacheSource type="external" connectionId="10"/>
  <cacheFields count="4">
    <cacheField name="MgtIndCountJobSearch_SEEKERID" numFmtId="0">
      <sharedItems containsSemiMixedTypes="0" containsString="0" containsNumber="1" containsInteger="1" minValue="70547" maxValue="70547" count="1">
        <n v="70547"/>
      </sharedItems>
    </cacheField>
    <cacheField name="MgtIndCountSkillsDev_SEEKERID" numFmtId="0">
      <sharedItems containsSemiMixedTypes="0" containsString="0" containsNumber="1" containsInteger="1" minValue="6450" maxValue="6450" count="1">
        <n v="6450"/>
      </sharedItems>
    </cacheField>
    <cacheField name="MgtIndCountAssessment_SEEKERID" numFmtId="0">
      <sharedItems containsSemiMixedTypes="0" containsString="0" containsNumber="1" containsInteger="1" minValue="35421" maxValue="35421" count="1">
        <n v="35421"/>
      </sharedItems>
    </cacheField>
    <cacheField name="MgtIndCountCommSvcs_SEEKERID" numFmtId="0">
      <sharedItems containsSemiMixedTypes="0" containsString="0" containsNumber="1" containsInteger="1" minValue="1927" maxValue="1927" count="1">
        <n v="1927"/>
      </sharedItems>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r:id="rId1" refreshedBy="swheeler" refreshedDate="41110.420185300929" backgroundQuery="1" createdVersion="3" refreshedVersion="3" minRefreshableVersion="3" recordCount="1">
  <cacheSource type="external" connectionId="11"/>
  <cacheFields count="8">
    <cacheField name="currentprogram" numFmtId="0">
      <sharedItems containsSemiMixedTypes="0" containsString="0" containsNumber="1" containsInteger="1" minValue="18768" maxValue="18768" count="1">
        <n v="18768"/>
      </sharedItems>
    </cacheField>
    <cacheField name="program1yearago" numFmtId="0">
      <sharedItems containsSemiMixedTypes="0" containsString="0" containsNumber="1" containsInteger="1" minValue="21665" maxValue="21665" count="1">
        <n v="21665"/>
      </sharedItems>
    </cacheField>
    <cacheField name="wiacurrent" numFmtId="0">
      <sharedItems containsSemiMixedTypes="0" containsString="0" containsNumber="1" containsInteger="1" minValue="9544" maxValue="9544" count="1">
        <n v="9544"/>
      </sharedItems>
    </cacheField>
    <cacheField name="wia1yearago" numFmtId="0">
      <sharedItems containsSemiMixedTypes="0" containsString="0" containsNumber="1" containsInteger="1" minValue="11139" maxValue="11139" count="1">
        <n v="11139"/>
      </sharedItems>
    </cacheField>
    <cacheField name="wianewcurrent" numFmtId="0">
      <sharedItems containsSemiMixedTypes="0" containsString="0" containsNumber="1" containsInteger="1" minValue="1705" maxValue="1705" count="1">
        <n v="1705"/>
      </sharedItems>
    </cacheField>
    <cacheField name="wianew1yearago" numFmtId="0">
      <sharedItems containsSemiMixedTypes="0" containsString="0" containsNumber="1" containsInteger="1" minValue="1528" maxValue="1528" count="1">
        <n v="1528"/>
      </sharedItems>
    </cacheField>
    <cacheField name="wiaexitcurrent" numFmtId="0">
      <sharedItems containsSemiMixedTypes="0" containsString="0" containsNumber="1" containsInteger="1" minValue="2003" maxValue="2003" count="1">
        <n v="2003"/>
      </sharedItems>
    </cacheField>
    <cacheField name="wiaexit1yearago" numFmtId="0">
      <sharedItems containsSemiMixedTypes="0" containsString="0" containsNumber="1" containsInteger="1" minValue="5022" maxValue="5022" count="1">
        <n v="5022"/>
      </sharedItems>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r:id="rId1" refreshedBy="swheeler" refreshedDate="41110.420639930555" backgroundQuery="1" createdVersion="3" refreshedVersion="3" minRefreshableVersion="3" recordCount="1">
  <cacheSource type="external" connectionId="12"/>
  <cacheFields count="8">
    <cacheField name="3CountWAJobOrders_JOB_ORDER_ID" numFmtId="0">
      <sharedItems containsSemiMixedTypes="0" containsString="0" containsNumber="1" containsInteger="1" minValue="5098" maxValue="5098" count="1">
        <n v="5098"/>
      </sharedItems>
    </cacheField>
    <cacheField name="3CountWAJobOrders_SumOfJOB OPENINGS" numFmtId="0">
      <sharedItems containsSemiMixedTypes="0" containsString="0" containsNumber="1" containsInteger="1" minValue="14655" maxValue="14655" count="1">
        <n v="14655"/>
      </sharedItems>
    </cacheField>
    <cacheField name="3CountOfWAJobOrders1YearAgo_JOB_ORDER_ID" numFmtId="0">
      <sharedItems containsSemiMixedTypes="0" containsString="0" containsNumber="1" containsInteger="1" minValue="6634" maxValue="6634" count="1">
        <n v="6634"/>
      </sharedItems>
    </cacheField>
    <cacheField name="3CountOfWAJobOrders1YearAgo_SumOfJOB OPENINGS" numFmtId="0">
      <sharedItems containsSemiMixedTypes="0" containsString="0" containsNumber="1" containsInteger="1" minValue="15984" maxValue="15984" count="1">
        <n v="15984"/>
      </sharedItems>
    </cacheField>
    <cacheField name="alljos" numFmtId="0">
      <sharedItems containsSemiMixedTypes="0" containsString="0" containsNumber="1" containsInteger="1" minValue="31809" maxValue="31809" count="1">
        <n v="31809"/>
      </sharedItems>
    </cacheField>
    <cacheField name="previousjos" numFmtId="0">
      <sharedItems containsSemiMixedTypes="0" containsString="0" containsNumber="1" containsInteger="1" minValue="27540" maxValue="27540" count="1">
        <n v="27540"/>
      </sharedItems>
    </cacheField>
    <cacheField name="3CountOfEmployersServed_EMPLOYER_ID" numFmtId="0">
      <sharedItems containsSemiMixedTypes="0" containsString="0" containsNumber="1" containsInteger="1" minValue="6396" maxValue="6396" count="1">
        <n v="6396"/>
      </sharedItems>
    </cacheField>
    <cacheField name="3CountOfEmployersServed1YearAgo_EMPLOYER_ID" numFmtId="0">
      <sharedItems containsSemiMixedTypes="0" containsString="0" containsNumber="1" containsInteger="1" minValue="7751" maxValue="7751" count="1">
        <n v="7751"/>
      </sharedItems>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r:id="rId1" refreshedBy="swheeler" refreshedDate="41110.421692129632" backgroundQuery="1" createdVersion="3" refreshedVersion="3" minRefreshableVersion="3" recordCount="1">
  <cacheSource type="external" connectionId="14"/>
  <cacheFields count="5">
    <cacheField name="CountNew" numFmtId="0">
      <sharedItems containsSemiMixedTypes="0" containsString="0" containsNumber="1" containsInteger="1" minValue="70524" maxValue="70524" count="1">
        <n v="70524"/>
      </sharedItems>
    </cacheField>
    <cacheField name="SERVICEDATE" numFmtId="0">
      <sharedItems containsSemiMixedTypes="0" containsString="0" containsNumber="1" containsInteger="1" minValue="205597" maxValue="205597" count="1">
        <n v="205597"/>
      </sharedItems>
    </cacheField>
    <cacheField name="OldWages" numFmtId="0">
      <sharedItems containsSemiMixedTypes="0" containsString="0" containsNumber="1" containsInteger="1" minValue="20047" maxValue="20047" count="1">
        <n v="20047"/>
      </sharedItems>
    </cacheField>
    <cacheField name="NewWages" numFmtId="0">
      <sharedItems containsSemiMixedTypes="0" containsString="0" containsNumber="1" minValue="17401.650000000001" maxValue="17401.650000000001" count="1">
        <n v="17401.650000000001"/>
      </sharedItems>
    </cacheField>
    <cacheField name="AvgOfDuration" numFmtId="0">
      <sharedItems containsSemiMixedTypes="0" containsString="0" containsNumber="1" minValue="14.029634507737899" maxValue="14.029634507737899" count="1">
        <n v="14.029634507737899"/>
      </sharedItems>
    </cacheField>
  </cacheFields>
  <extLst>
    <ext xmlns:x14="http://schemas.microsoft.com/office/spreadsheetml/2009/9/main" uri="{725AE2AE-9491-48be-B2B4-4EB974FC3084}">
      <x14:pivotCacheDefinition/>
    </ext>
  </extLst>
</pivotCacheDefinition>
</file>

<file path=xl/pivotCache/pivotCacheDefinition8.xml><?xml version="1.0" encoding="utf-8"?>
<pivotCacheDefinition xmlns="http://schemas.openxmlformats.org/spreadsheetml/2006/main" xmlns:r="http://schemas.openxmlformats.org/officeDocument/2006/relationships" r:id="rId1" refreshedBy="swheeler" refreshedDate="41115.503312615743" backgroundQuery="1" createdVersion="3" refreshedVersion="3" minRefreshableVersion="3" recordCount="1">
  <cacheSource type="external" connectionId="9"/>
  <cacheFields count="13">
    <cacheField name="all" numFmtId="0">
      <sharedItems containsSemiMixedTypes="0" containsString="0" containsNumber="1" containsInteger="1" minValue="178793" maxValue="178793" count="1">
        <n v="178793"/>
      </sharedItems>
    </cacheField>
    <cacheField name="self" numFmtId="0">
      <sharedItems containsSemiMixedTypes="0" containsString="0" containsNumber="1" containsInteger="1" minValue="77661" maxValue="77661" count="1">
        <n v="77661"/>
      </sharedItems>
    </cacheField>
    <cacheField name="staffassist" numFmtId="0">
      <sharedItems containsSemiMixedTypes="0" containsString="0" containsNumber="1" containsInteger="1" minValue="101132" maxValue="101132" count="1">
        <n v="101132"/>
      </sharedItems>
    </cacheField>
    <cacheField name="core" numFmtId="0">
      <sharedItems containsSemiMixedTypes="0" containsString="0" containsNumber="1" containsInteger="1" minValue="88089" maxValue="88089" count="1">
        <n v="88089"/>
      </sharedItems>
    </cacheField>
    <cacheField name="coreint" numFmtId="0">
      <sharedItems containsSemiMixedTypes="0" containsString="0" containsNumber="1" containsInteger="1" minValue="10255" maxValue="10255" count="1">
        <n v="10255"/>
      </sharedItems>
    </cacheField>
    <cacheField name="newtraining" numFmtId="0">
      <sharedItems containsSemiMixedTypes="0" containsString="0" containsNumber="1" containsInteger="1" minValue="2788" maxValue="2788" count="1">
        <n v="2788"/>
      </sharedItems>
    </cacheField>
    <cacheField name="ongoing" numFmtId="0">
      <sharedItems containsSemiMixedTypes="0" containsString="0" containsNumber="1" containsInteger="1" minValue="8302" maxValue="8302" count="1">
        <n v="8302"/>
      </sharedItems>
    </cacheField>
    <cacheField name="complete" numFmtId="0">
      <sharedItems containsSemiMixedTypes="0" containsString="0" containsNumber="1" containsInteger="1" minValue="3806" maxValue="3806" count="1">
        <n v="3806"/>
      </sharedItems>
    </cacheField>
    <cacheField name="UI" numFmtId="0">
      <sharedItems containsSemiMixedTypes="0" containsString="0" containsNumber="1" containsInteger="1" minValue="51011" maxValue="51011" count="1">
        <n v="51011"/>
      </sharedItems>
    </cacheField>
    <cacheField name="Vets" numFmtId="0">
      <sharedItems containsSemiMixedTypes="0" containsString="0" containsNumber="1" containsInteger="1" minValue="9756" maxValue="9756" count="1">
        <n v="9756"/>
      </sharedItems>
    </cacheField>
    <cacheField name="WF" numFmtId="0">
      <sharedItems containsSemiMixedTypes="0" containsString="0" containsNumber="1" containsInteger="1" minValue="6455" maxValue="6455" count="1">
        <n v="6455"/>
      </sharedItems>
    </cacheField>
    <cacheField name="GO2" numFmtId="0">
      <sharedItems containsSemiMixedTypes="0" containsString="0" containsNumber="1" containsInteger="1" minValue="63917" maxValue="63917" count="1">
        <n v="63917"/>
      </sharedItems>
    </cacheField>
    <cacheField name="SSMS" numFmtId="0">
      <sharedItems containsSemiMixedTypes="0" containsString="0" containsNumber="1" containsInteger="1" minValue="26793" maxValue="26793" count="1">
        <n v="26793"/>
      </sharedItems>
    </cacheField>
  </cacheFields>
  <extLst>
    <ext xmlns:x14="http://schemas.microsoft.com/office/spreadsheetml/2009/9/main" uri="{725AE2AE-9491-48be-B2B4-4EB974FC3084}">
      <x14:pivotCacheDefinition/>
    </ext>
  </extLst>
</pivotCacheDefinition>
</file>

<file path=xl/pivotCache/pivotCacheDefinition9.xml><?xml version="1.0" encoding="utf-8"?>
<pivotCacheDefinition xmlns="http://schemas.openxmlformats.org/spreadsheetml/2006/main" xmlns:r="http://schemas.openxmlformats.org/officeDocument/2006/relationships" r:id="rId1" refreshedBy="swheeler" refreshedDate="41135.452104976852" backgroundQuery="1" createdVersion="3" refreshedVersion="3" minRefreshableVersion="3" recordCount="12">
  <cacheSource type="external" connectionId="1"/>
  <cacheFields count="14">
    <cacheField name="REGION_ID" numFmtId="0">
      <sharedItems containsSemiMixedTypes="0" containsString="0" containsNumber="1" containsInteger="1" minValue="1" maxValue="12" count="12">
        <n v="1"/>
        <n v="10"/>
        <n v="11"/>
        <n v="12"/>
        <n v="2"/>
        <n v="3"/>
        <n v="4"/>
        <n v="5"/>
        <n v="6"/>
        <n v="7"/>
        <n v="8"/>
        <n v="9"/>
      </sharedItems>
    </cacheField>
    <cacheField name="all" numFmtId="0">
      <sharedItems containsSemiMixedTypes="0" containsString="0" containsNumber="1" containsInteger="1" minValue="5948" maxValue="35333" count="12">
        <n v="8628"/>
        <n v="5948"/>
        <n v="9745"/>
        <n v="13026"/>
        <n v="14824"/>
        <n v="10740"/>
        <n v="17723"/>
        <n v="35333"/>
        <n v="18085"/>
        <n v="14240"/>
        <n v="12890"/>
        <n v="10773"/>
      </sharedItems>
    </cacheField>
    <cacheField name="self" numFmtId="0">
      <sharedItems containsSemiMixedTypes="0" containsString="0" containsNumber="1" containsInteger="1" minValue="1739" maxValue="15105" count="12">
        <n v="3772"/>
        <n v="1739"/>
        <n v="3516"/>
        <n v="5556"/>
        <n v="6311"/>
        <n v="5780"/>
        <n v="5951"/>
        <n v="15105"/>
        <n v="9469"/>
        <n v="6552"/>
        <n v="2805"/>
        <n v="3381"/>
      </sharedItems>
    </cacheField>
    <cacheField name="staffassist" numFmtId="0">
      <sharedItems containsSemiMixedTypes="0" containsString="0" containsNumber="1" containsInteger="1" minValue="4209" maxValue="20228" count="12">
        <n v="4856"/>
        <n v="4209"/>
        <n v="6229"/>
        <n v="7470"/>
        <n v="8513"/>
        <n v="4960"/>
        <n v="11772"/>
        <n v="20228"/>
        <n v="8616"/>
        <n v="7688"/>
        <n v="10085"/>
        <n v="7392"/>
      </sharedItems>
    </cacheField>
    <cacheField name="core" numFmtId="0">
      <sharedItems containsSemiMixedTypes="0" containsString="0" containsNumber="1" containsInteger="1" minValue="3365" maxValue="17964" count="12">
        <n v="4193"/>
        <n v="3365"/>
        <n v="5797"/>
        <n v="6388"/>
        <n v="7396"/>
        <n v="4369"/>
        <n v="10089"/>
        <n v="17964"/>
        <n v="7128"/>
        <n v="6182"/>
        <n v="9397"/>
        <n v="6670"/>
      </sharedItems>
    </cacheField>
    <cacheField name="coreint" numFmtId="0">
      <sharedItems containsSemiMixedTypes="0" containsString="0" containsNumber="1" containsInteger="1" minValue="327" maxValue="1637" count="12">
        <n v="569"/>
        <n v="672"/>
        <n v="327"/>
        <n v="926"/>
        <n v="944"/>
        <n v="423"/>
        <n v="1238"/>
        <n v="1637"/>
        <n v="1278"/>
        <n v="1118"/>
        <n v="557"/>
        <n v="603"/>
      </sharedItems>
    </cacheField>
    <cacheField name="newtraining" numFmtId="0">
      <sharedItems containsSemiMixedTypes="0" containsString="0" containsNumber="1" containsInteger="1" minValue="94" maxValue="627" count="12">
        <n v="94"/>
        <n v="172"/>
        <n v="105"/>
        <n v="156"/>
        <n v="173"/>
        <n v="168"/>
        <n v="445"/>
        <n v="627"/>
        <n v="210"/>
        <n v="388"/>
        <n v="131"/>
        <n v="119"/>
      </sharedItems>
    </cacheField>
    <cacheField name="ongoing" numFmtId="0">
      <sharedItems containsSemiMixedTypes="0" containsString="0" containsNumber="1" containsInteger="1" minValue="211" maxValue="1755" count="12">
        <n v="420"/>
        <n v="629"/>
        <n v="211"/>
        <n v="484"/>
        <n v="939"/>
        <n v="487"/>
        <n v="838"/>
        <n v="1755"/>
        <n v="774"/>
        <n v="993"/>
        <n v="359"/>
        <n v="455"/>
      </sharedItems>
    </cacheField>
    <cacheField name="complete" numFmtId="0">
      <sharedItems containsSemiMixedTypes="0" containsString="0" containsNumber="1" containsInteger="1" minValue="166" maxValue="822" count="11">
        <n v="215"/>
        <n v="166"/>
        <n v="179"/>
        <n v="308"/>
        <n v="290"/>
        <n v="232"/>
        <n v="392"/>
        <n v="822"/>
        <n v="194"/>
        <n v="802"/>
        <n v="299"/>
      </sharedItems>
    </cacheField>
    <cacheField name="UI" numFmtId="0">
      <sharedItems containsSemiMixedTypes="0" containsString="0" containsNumber="1" containsInteger="1" minValue="1585" maxValue="12620" count="12">
        <n v="2303"/>
        <n v="1585"/>
        <n v="2644"/>
        <n v="3989"/>
        <n v="4130"/>
        <n v="2732"/>
        <n v="5737"/>
        <n v="12620"/>
        <n v="5400"/>
        <n v="3533"/>
        <n v="3113"/>
        <n v="3518"/>
      </sharedItems>
    </cacheField>
    <cacheField name="Vets" numFmtId="0">
      <sharedItems containsSemiMixedTypes="0" containsString="0" containsNumber="1" containsInteger="1" minValue="417" maxValue="1576" count="12">
        <n v="857"/>
        <n v="503"/>
        <n v="455"/>
        <n v="716"/>
        <n v="1113"/>
        <n v="625"/>
        <n v="881"/>
        <n v="1453"/>
        <n v="1576"/>
        <n v="727"/>
        <n v="597"/>
        <n v="417"/>
      </sharedItems>
    </cacheField>
    <cacheField name="WF" numFmtId="0">
      <sharedItems containsSemiMixedTypes="0" containsString="0" containsNumber="1" containsInteger="1" minValue="161" maxValue="1197" count="12">
        <n v="187"/>
        <n v="185"/>
        <n v="161"/>
        <n v="917"/>
        <n v="572"/>
        <n v="226"/>
        <n v="550"/>
        <n v="1197"/>
        <n v="1060"/>
        <n v="775"/>
        <n v="297"/>
        <n v="393"/>
      </sharedItems>
    </cacheField>
    <cacheField name="GO2" numFmtId="0">
      <sharedItems containsSemiMixedTypes="0" containsString="0" containsNumber="1" containsInteger="1" minValue="1364" maxValue="11653" count="12">
        <n v="2996"/>
        <n v="1364"/>
        <n v="2740"/>
        <n v="4709"/>
        <n v="4982"/>
        <n v="4479"/>
        <n v="5290"/>
        <n v="11653"/>
        <n v="7899"/>
        <n v="4655"/>
        <n v="2093"/>
        <n v="2447"/>
      </sharedItems>
    </cacheField>
    <cacheField name="SSMS" numFmtId="0">
      <sharedItems containsSemiMixedTypes="0" containsString="0" containsNumber="1" containsInteger="1" minValue="768" maxValue="6196" count="12">
        <n v="1463"/>
        <n v="768"/>
        <n v="1784"/>
        <n v="1877"/>
        <n v="2671"/>
        <n v="2649"/>
        <n v="1416"/>
        <n v="6196"/>
        <n v="3435"/>
        <n v="3542"/>
        <n v="1311"/>
        <n v="1884"/>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
  <r>
    <x v="0"/>
    <x v="0"/>
    <x v="0"/>
    <x v="0"/>
    <x v="0"/>
  </r>
  <r>
    <x v="1"/>
    <x v="1"/>
    <x v="1"/>
    <x v="1"/>
    <x v="1"/>
  </r>
  <r>
    <x v="2"/>
    <x v="2"/>
    <x v="2"/>
    <x v="2"/>
    <x v="2"/>
  </r>
  <r>
    <x v="3"/>
    <x v="3"/>
    <x v="3"/>
    <x v="3"/>
    <x v="3"/>
  </r>
  <r>
    <x v="4"/>
    <x v="4"/>
    <x v="4"/>
    <x v="4"/>
    <x v="4"/>
  </r>
  <r>
    <x v="5"/>
    <x v="5"/>
    <x v="5"/>
    <x v="5"/>
    <x v="5"/>
  </r>
  <r>
    <x v="6"/>
    <x v="6"/>
    <x v="6"/>
    <x v="6"/>
    <x v="6"/>
  </r>
  <r>
    <x v="7"/>
    <x v="7"/>
    <x v="7"/>
    <x v="7"/>
    <x v="7"/>
  </r>
  <r>
    <x v="8"/>
    <x v="8"/>
    <x v="8"/>
    <x v="8"/>
    <x v="8"/>
  </r>
  <r>
    <x v="9"/>
    <x v="9"/>
    <x v="9"/>
    <x v="9"/>
    <x v="9"/>
  </r>
  <r>
    <x v="10"/>
    <x v="10"/>
    <x v="10"/>
    <x v="10"/>
    <x v="10"/>
  </r>
  <r>
    <x v="11"/>
    <x v="11"/>
    <x v="11"/>
    <x v="11"/>
    <x v="11"/>
  </r>
</pivotCacheRecords>
</file>

<file path=xl/pivotCache/pivotCacheRecords10.xml><?xml version="1.0" encoding="utf-8"?>
<pivotCacheRecords xmlns="http://schemas.openxmlformats.org/spreadsheetml/2006/main" xmlns:r="http://schemas.openxmlformats.org/officeDocument/2006/relationships" count="12">
  <r>
    <x v="0"/>
    <x v="0"/>
    <x v="0"/>
    <x v="0"/>
    <x v="0"/>
    <x v="0"/>
    <x v="0"/>
    <x v="0"/>
    <x v="0"/>
  </r>
  <r>
    <x v="1"/>
    <x v="1"/>
    <x v="1"/>
    <x v="1"/>
    <x v="1"/>
    <x v="1"/>
    <x v="1"/>
    <x v="1"/>
    <x v="1"/>
  </r>
  <r>
    <x v="2"/>
    <x v="2"/>
    <x v="2"/>
    <x v="2"/>
    <x v="2"/>
    <x v="2"/>
    <x v="2"/>
    <x v="2"/>
    <x v="2"/>
  </r>
  <r>
    <x v="3"/>
    <x v="3"/>
    <x v="3"/>
    <x v="3"/>
    <x v="3"/>
    <x v="3"/>
    <x v="3"/>
    <x v="3"/>
    <x v="3"/>
  </r>
  <r>
    <x v="4"/>
    <x v="4"/>
    <x v="4"/>
    <x v="4"/>
    <x v="4"/>
    <x v="4"/>
    <x v="4"/>
    <x v="4"/>
    <x v="4"/>
  </r>
  <r>
    <x v="5"/>
    <x v="5"/>
    <x v="5"/>
    <x v="5"/>
    <x v="5"/>
    <x v="5"/>
    <x v="5"/>
    <x v="5"/>
    <x v="5"/>
  </r>
  <r>
    <x v="6"/>
    <x v="6"/>
    <x v="6"/>
    <x v="6"/>
    <x v="6"/>
    <x v="6"/>
    <x v="6"/>
    <x v="6"/>
    <x v="6"/>
  </r>
  <r>
    <x v="7"/>
    <x v="7"/>
    <x v="7"/>
    <x v="7"/>
    <x v="7"/>
    <x v="7"/>
    <x v="7"/>
    <x v="7"/>
    <x v="7"/>
  </r>
  <r>
    <x v="8"/>
    <x v="8"/>
    <x v="8"/>
    <x v="8"/>
    <x v="8"/>
    <x v="8"/>
    <x v="8"/>
    <x v="8"/>
    <x v="8"/>
  </r>
  <r>
    <x v="9"/>
    <x v="9"/>
    <x v="9"/>
    <x v="9"/>
    <x v="9"/>
    <x v="9"/>
    <x v="9"/>
    <x v="9"/>
    <x v="9"/>
  </r>
  <r>
    <x v="10"/>
    <x v="10"/>
    <x v="10"/>
    <x v="10"/>
    <x v="10"/>
    <x v="10"/>
    <x v="10"/>
    <x v="10"/>
    <x v="10"/>
  </r>
  <r>
    <x v="11"/>
    <x v="11"/>
    <x v="11"/>
    <x v="11"/>
    <x v="11"/>
    <x v="11"/>
    <x v="11"/>
    <x v="11"/>
    <x v="10"/>
  </r>
</pivotCacheRecords>
</file>

<file path=xl/pivotCache/pivotCacheRecords11.xml><?xml version="1.0" encoding="utf-8"?>
<pivotCacheRecords xmlns="http://schemas.openxmlformats.org/spreadsheetml/2006/main" xmlns:r="http://schemas.openxmlformats.org/officeDocument/2006/relationships" count="1">
  <r>
    <x v="0"/>
    <x v="0"/>
    <x v="0"/>
    <x v="0"/>
    <x v="0"/>
    <x v="0"/>
    <x v="0"/>
    <x v="0"/>
  </r>
</pivotCacheRecords>
</file>

<file path=xl/pivotCache/pivotCacheRecords12.xml><?xml version="1.0" encoding="utf-8"?>
<pivotCacheRecords xmlns="http://schemas.openxmlformats.org/spreadsheetml/2006/main" xmlns:r="http://schemas.openxmlformats.org/officeDocument/2006/relationships" count="13">
  <r>
    <x v="0"/>
    <x v="0"/>
    <x v="0"/>
    <x v="0"/>
    <x v="0"/>
    <x v="0"/>
    <x v="0"/>
    <x v="0"/>
    <x v="0"/>
  </r>
  <r>
    <x v="1"/>
    <x v="1"/>
    <x v="1"/>
    <x v="1"/>
    <x v="1"/>
    <x v="1"/>
    <x v="1"/>
    <x v="1"/>
    <x v="1"/>
  </r>
  <r>
    <x v="2"/>
    <x v="2"/>
    <x v="2"/>
    <x v="2"/>
    <x v="2"/>
    <x v="2"/>
    <x v="2"/>
    <x v="2"/>
    <x v="2"/>
  </r>
  <r>
    <x v="3"/>
    <x v="3"/>
    <x v="3"/>
    <x v="3"/>
    <x v="3"/>
    <x v="3"/>
    <x v="3"/>
    <x v="3"/>
    <x v="3"/>
  </r>
  <r>
    <x v="4"/>
    <x v="4"/>
    <x v="4"/>
    <x v="4"/>
    <x v="4"/>
    <x v="4"/>
    <x v="4"/>
    <x v="4"/>
    <x v="4"/>
  </r>
  <r>
    <x v="5"/>
    <x v="5"/>
    <x v="5"/>
    <x v="5"/>
    <x v="5"/>
    <x v="5"/>
    <x v="5"/>
    <x v="5"/>
    <x v="5"/>
  </r>
  <r>
    <x v="6"/>
    <x v="6"/>
    <x v="6"/>
    <x v="6"/>
    <x v="6"/>
    <x v="6"/>
    <x v="6"/>
    <x v="6"/>
    <x v="6"/>
  </r>
  <r>
    <x v="7"/>
    <x v="7"/>
    <x v="7"/>
    <x v="7"/>
    <x v="7"/>
    <x v="7"/>
    <x v="7"/>
    <x v="7"/>
    <x v="7"/>
  </r>
  <r>
    <x v="8"/>
    <x v="8"/>
    <x v="8"/>
    <x v="8"/>
    <x v="8"/>
    <x v="8"/>
    <x v="8"/>
    <x v="8"/>
    <x v="8"/>
  </r>
  <r>
    <x v="9"/>
    <x v="9"/>
    <x v="9"/>
    <x v="9"/>
    <x v="9"/>
    <x v="9"/>
    <x v="9"/>
    <x v="9"/>
    <x v="9"/>
  </r>
  <r>
    <x v="10"/>
    <x v="10"/>
    <x v="10"/>
    <x v="10"/>
    <x v="10"/>
    <x v="10"/>
    <x v="10"/>
    <x v="10"/>
    <x v="10"/>
  </r>
  <r>
    <x v="11"/>
    <x v="11"/>
    <x v="11"/>
    <x v="11"/>
    <x v="11"/>
    <x v="11"/>
    <x v="11"/>
    <x v="11"/>
    <x v="11"/>
  </r>
  <r>
    <x v="12"/>
    <x v="12"/>
    <x v="12"/>
    <x v="12"/>
    <x v="12"/>
    <x v="12"/>
    <x v="12"/>
    <x v="12"/>
    <x v="12"/>
  </r>
</pivotCacheRecords>
</file>

<file path=xl/pivotCache/pivotCacheRecords2.xml><?xml version="1.0" encoding="utf-8"?>
<pivotCacheRecords xmlns="http://schemas.openxmlformats.org/spreadsheetml/2006/main" xmlns:r="http://schemas.openxmlformats.org/officeDocument/2006/relationships" count="12">
  <r>
    <x v="0"/>
    <x v="0"/>
    <x v="0"/>
    <x v="0"/>
    <x v="0"/>
    <x v="0"/>
    <x v="0"/>
    <x v="0"/>
    <x v="0"/>
  </r>
  <r>
    <x v="1"/>
    <x v="1"/>
    <x v="1"/>
    <x v="1"/>
    <x v="1"/>
    <x v="1"/>
    <x v="1"/>
    <x v="1"/>
    <x v="1"/>
  </r>
  <r>
    <x v="2"/>
    <x v="2"/>
    <x v="2"/>
    <x v="2"/>
    <x v="2"/>
    <x v="2"/>
    <x v="2"/>
    <x v="2"/>
    <x v="2"/>
  </r>
  <r>
    <x v="3"/>
    <x v="3"/>
    <x v="3"/>
    <x v="3"/>
    <x v="3"/>
    <x v="3"/>
    <x v="3"/>
    <x v="3"/>
    <x v="3"/>
  </r>
  <r>
    <x v="4"/>
    <x v="4"/>
    <x v="4"/>
    <x v="4"/>
    <x v="4"/>
    <x v="4"/>
    <x v="4"/>
    <x v="4"/>
    <x v="4"/>
  </r>
  <r>
    <x v="5"/>
    <x v="5"/>
    <x v="5"/>
    <x v="5"/>
    <x v="5"/>
    <x v="1"/>
    <x v="5"/>
    <x v="5"/>
    <x v="5"/>
  </r>
  <r>
    <x v="6"/>
    <x v="6"/>
    <x v="6"/>
    <x v="6"/>
    <x v="6"/>
    <x v="5"/>
    <x v="6"/>
    <x v="6"/>
    <x v="6"/>
  </r>
  <r>
    <x v="7"/>
    <x v="7"/>
    <x v="7"/>
    <x v="7"/>
    <x v="7"/>
    <x v="6"/>
    <x v="7"/>
    <x v="7"/>
    <x v="7"/>
  </r>
  <r>
    <x v="8"/>
    <x v="8"/>
    <x v="8"/>
    <x v="8"/>
    <x v="8"/>
    <x v="7"/>
    <x v="8"/>
    <x v="8"/>
    <x v="8"/>
  </r>
  <r>
    <x v="9"/>
    <x v="9"/>
    <x v="9"/>
    <x v="9"/>
    <x v="9"/>
    <x v="8"/>
    <x v="9"/>
    <x v="9"/>
    <x v="9"/>
  </r>
  <r>
    <x v="10"/>
    <x v="10"/>
    <x v="10"/>
    <x v="10"/>
    <x v="10"/>
    <x v="9"/>
    <x v="10"/>
    <x v="10"/>
    <x v="10"/>
  </r>
  <r>
    <x v="11"/>
    <x v="11"/>
    <x v="11"/>
    <x v="11"/>
    <x v="11"/>
    <x v="10"/>
    <x v="0"/>
    <x v="11"/>
    <x v="11"/>
  </r>
</pivotCacheRecords>
</file>

<file path=xl/pivotCache/pivotCacheRecords3.xml><?xml version="1.0" encoding="utf-8"?>
<pivotCacheRecords xmlns="http://schemas.openxmlformats.org/spreadsheetml/2006/main" xmlns:r="http://schemas.openxmlformats.org/officeDocument/2006/relationships" count="12">
  <r>
    <x v="0"/>
    <x v="0"/>
    <x v="0"/>
    <x v="0"/>
    <x v="0"/>
    <x v="0"/>
  </r>
  <r>
    <x v="1"/>
    <x v="1"/>
    <x v="1"/>
    <x v="1"/>
    <x v="1"/>
    <x v="1"/>
  </r>
  <r>
    <x v="2"/>
    <x v="2"/>
    <x v="2"/>
    <x v="2"/>
    <x v="2"/>
    <x v="2"/>
  </r>
  <r>
    <x v="3"/>
    <x v="3"/>
    <x v="3"/>
    <x v="3"/>
    <x v="3"/>
    <x v="3"/>
  </r>
  <r>
    <x v="4"/>
    <x v="4"/>
    <x v="4"/>
    <x v="4"/>
    <x v="4"/>
    <x v="4"/>
  </r>
  <r>
    <x v="5"/>
    <x v="5"/>
    <x v="5"/>
    <x v="5"/>
    <x v="5"/>
    <x v="5"/>
  </r>
  <r>
    <x v="6"/>
    <x v="6"/>
    <x v="6"/>
    <x v="6"/>
    <x v="6"/>
    <x v="6"/>
  </r>
  <r>
    <x v="7"/>
    <x v="7"/>
    <x v="7"/>
    <x v="7"/>
    <x v="7"/>
    <x v="7"/>
  </r>
  <r>
    <x v="8"/>
    <x v="8"/>
    <x v="8"/>
    <x v="8"/>
    <x v="8"/>
    <x v="8"/>
  </r>
  <r>
    <x v="9"/>
    <x v="9"/>
    <x v="9"/>
    <x v="9"/>
    <x v="9"/>
    <x v="9"/>
  </r>
  <r>
    <x v="10"/>
    <x v="10"/>
    <x v="10"/>
    <x v="10"/>
    <x v="10"/>
    <x v="10"/>
  </r>
  <r>
    <x v="11"/>
    <x v="11"/>
    <x v="11"/>
    <x v="11"/>
    <x v="11"/>
    <x v="11"/>
  </r>
</pivotCacheRecords>
</file>

<file path=xl/pivotCache/pivotCacheRecords4.xml><?xml version="1.0" encoding="utf-8"?>
<pivotCacheRecords xmlns="http://schemas.openxmlformats.org/spreadsheetml/2006/main" xmlns:r="http://schemas.openxmlformats.org/officeDocument/2006/relationships" count="1">
  <r>
    <x v="0"/>
    <x v="0"/>
    <x v="0"/>
    <x v="0"/>
  </r>
</pivotCacheRecords>
</file>

<file path=xl/pivotCache/pivotCacheRecords5.xml><?xml version="1.0" encoding="utf-8"?>
<pivotCacheRecords xmlns="http://schemas.openxmlformats.org/spreadsheetml/2006/main" xmlns:r="http://schemas.openxmlformats.org/officeDocument/2006/relationships" count="1">
  <r>
    <x v="0"/>
    <x v="0"/>
    <x v="0"/>
    <x v="0"/>
    <x v="0"/>
    <x v="0"/>
    <x v="0"/>
    <x v="0"/>
  </r>
</pivotCacheRecords>
</file>

<file path=xl/pivotCache/pivotCacheRecords6.xml><?xml version="1.0" encoding="utf-8"?>
<pivotCacheRecords xmlns="http://schemas.openxmlformats.org/spreadsheetml/2006/main" xmlns:r="http://schemas.openxmlformats.org/officeDocument/2006/relationships" count="1">
  <r>
    <x v="0"/>
    <x v="0"/>
    <x v="0"/>
    <x v="0"/>
    <x v="0"/>
    <x v="0"/>
    <x v="0"/>
    <x v="0"/>
  </r>
</pivotCacheRecords>
</file>

<file path=xl/pivotCache/pivotCacheRecords7.xml><?xml version="1.0" encoding="utf-8"?>
<pivotCacheRecords xmlns="http://schemas.openxmlformats.org/spreadsheetml/2006/main" xmlns:r="http://schemas.openxmlformats.org/officeDocument/2006/relationships" count="1">
  <r>
    <x v="0"/>
    <x v="0"/>
    <x v="0"/>
    <x v="0"/>
    <x v="0"/>
  </r>
</pivotCacheRecords>
</file>

<file path=xl/pivotCache/pivotCacheRecords8.xml><?xml version="1.0" encoding="utf-8"?>
<pivotCacheRecords xmlns="http://schemas.openxmlformats.org/spreadsheetml/2006/main" xmlns:r="http://schemas.openxmlformats.org/officeDocument/2006/relationships" count="1">
  <r>
    <x v="0"/>
    <x v="0"/>
    <x v="0"/>
    <x v="0"/>
    <x v="0"/>
    <x v="0"/>
    <x v="0"/>
    <x v="0"/>
    <x v="0"/>
    <x v="0"/>
    <x v="0"/>
    <x v="0"/>
    <x v="0"/>
  </r>
</pivotCacheRecords>
</file>

<file path=xl/pivotCache/pivotCacheRecords9.xml><?xml version="1.0" encoding="utf-8"?>
<pivotCacheRecords xmlns="http://schemas.openxmlformats.org/spreadsheetml/2006/main" xmlns:r="http://schemas.openxmlformats.org/officeDocument/2006/relationships" count="12">
  <r>
    <x v="0"/>
    <x v="0"/>
    <x v="0"/>
    <x v="0"/>
    <x v="0"/>
    <x v="0"/>
    <x v="0"/>
    <x v="0"/>
    <x v="0"/>
    <x v="0"/>
    <x v="0"/>
    <x v="0"/>
    <x v="0"/>
    <x v="0"/>
  </r>
  <r>
    <x v="1"/>
    <x v="1"/>
    <x v="1"/>
    <x v="1"/>
    <x v="1"/>
    <x v="1"/>
    <x v="1"/>
    <x v="1"/>
    <x v="1"/>
    <x v="1"/>
    <x v="1"/>
    <x v="1"/>
    <x v="1"/>
    <x v="1"/>
  </r>
  <r>
    <x v="2"/>
    <x v="2"/>
    <x v="2"/>
    <x v="2"/>
    <x v="2"/>
    <x v="2"/>
    <x v="2"/>
    <x v="2"/>
    <x v="2"/>
    <x v="2"/>
    <x v="2"/>
    <x v="2"/>
    <x v="2"/>
    <x v="2"/>
  </r>
  <r>
    <x v="3"/>
    <x v="3"/>
    <x v="3"/>
    <x v="3"/>
    <x v="3"/>
    <x v="3"/>
    <x v="3"/>
    <x v="3"/>
    <x v="3"/>
    <x v="3"/>
    <x v="3"/>
    <x v="3"/>
    <x v="3"/>
    <x v="3"/>
  </r>
  <r>
    <x v="4"/>
    <x v="4"/>
    <x v="4"/>
    <x v="4"/>
    <x v="4"/>
    <x v="4"/>
    <x v="4"/>
    <x v="4"/>
    <x v="4"/>
    <x v="4"/>
    <x v="4"/>
    <x v="4"/>
    <x v="4"/>
    <x v="4"/>
  </r>
  <r>
    <x v="5"/>
    <x v="5"/>
    <x v="5"/>
    <x v="5"/>
    <x v="5"/>
    <x v="5"/>
    <x v="5"/>
    <x v="5"/>
    <x v="5"/>
    <x v="5"/>
    <x v="5"/>
    <x v="5"/>
    <x v="5"/>
    <x v="5"/>
  </r>
  <r>
    <x v="6"/>
    <x v="6"/>
    <x v="6"/>
    <x v="6"/>
    <x v="6"/>
    <x v="6"/>
    <x v="6"/>
    <x v="6"/>
    <x v="6"/>
    <x v="6"/>
    <x v="6"/>
    <x v="6"/>
    <x v="6"/>
    <x v="6"/>
  </r>
  <r>
    <x v="7"/>
    <x v="7"/>
    <x v="7"/>
    <x v="7"/>
    <x v="7"/>
    <x v="7"/>
    <x v="7"/>
    <x v="7"/>
    <x v="7"/>
    <x v="7"/>
    <x v="7"/>
    <x v="7"/>
    <x v="7"/>
    <x v="7"/>
  </r>
  <r>
    <x v="8"/>
    <x v="8"/>
    <x v="8"/>
    <x v="8"/>
    <x v="8"/>
    <x v="8"/>
    <x v="8"/>
    <x v="8"/>
    <x v="8"/>
    <x v="8"/>
    <x v="8"/>
    <x v="8"/>
    <x v="8"/>
    <x v="8"/>
  </r>
  <r>
    <x v="9"/>
    <x v="9"/>
    <x v="9"/>
    <x v="9"/>
    <x v="9"/>
    <x v="9"/>
    <x v="9"/>
    <x v="9"/>
    <x v="9"/>
    <x v="9"/>
    <x v="9"/>
    <x v="9"/>
    <x v="9"/>
    <x v="9"/>
  </r>
  <r>
    <x v="10"/>
    <x v="10"/>
    <x v="10"/>
    <x v="10"/>
    <x v="10"/>
    <x v="10"/>
    <x v="10"/>
    <x v="10"/>
    <x v="2"/>
    <x v="10"/>
    <x v="10"/>
    <x v="10"/>
    <x v="10"/>
    <x v="10"/>
  </r>
  <r>
    <x v="11"/>
    <x v="11"/>
    <x v="11"/>
    <x v="11"/>
    <x v="11"/>
    <x v="11"/>
    <x v="11"/>
    <x v="11"/>
    <x v="10"/>
    <x v="11"/>
    <x v="11"/>
    <x v="11"/>
    <x v="11"/>
    <x v="1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pivotTable1.xml><?xml version="1.0" encoding="utf-8"?>
<pivotTableDefinition xmlns="http://schemas.openxmlformats.org/spreadsheetml/2006/main" name="PivotTable6" cacheId="6"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27:E29" firstHeaderRow="1" firstDataRow="2" firstDataCol="0"/>
  <pivotFields count="5">
    <pivotField dataField="1" showAll="0"/>
    <pivotField dataField="1" showAll="0"/>
    <pivotField dataField="1" showAll="0"/>
    <pivotField dataField="1" showAll="0"/>
    <pivotField dataField="1" showAll="0"/>
  </pivotFields>
  <rowItems count="1">
    <i/>
  </rowItems>
  <colFields count="1">
    <field x="-2"/>
  </colFields>
  <colItems count="5">
    <i>
      <x/>
    </i>
    <i i="1">
      <x v="1"/>
    </i>
    <i i="2">
      <x v="2"/>
    </i>
    <i i="3">
      <x v="3"/>
    </i>
    <i i="4">
      <x v="4"/>
    </i>
  </colItems>
  <dataFields count="5">
    <dataField name="Sum of AvgOfDuration" fld="4" baseField="0" baseItem="0"/>
    <dataField name="Sum of CountNew" fld="0" baseField="0" baseItem="0"/>
    <dataField name="Sum of NewWages" fld="3" baseField="0" baseItem="0"/>
    <dataField name="Sum of OldWages" fld="2" baseField="0" baseItem="0"/>
    <dataField name="Sum of SERVICEDATE" fld="1" baseField="0" baseItem="0"/>
  </dataFields>
  <pivotTableStyleInfo name="PivotStyleLight16" showRowHeaders="1" showColHeaders="1" showRowStripes="0" showColStripes="0" showLastColumn="1"/>
</pivotTableDefinition>
</file>

<file path=xl/pivotTables/pivotTable10.xml><?xml version="1.0" encoding="utf-8"?>
<pivotTableDefinition xmlns="http://schemas.openxmlformats.org/spreadsheetml/2006/main" name="PivotTable9" cacheId="2"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89:F103" firstHeaderRow="1" firstDataRow="2" firstDataCol="1"/>
  <pivotFields count="6">
    <pivotField axis="axisRow" showAll="0">
      <items count="13">
        <item x="0"/>
        <item x="4"/>
        <item x="5"/>
        <item x="6"/>
        <item x="7"/>
        <item x="8"/>
        <item x="9"/>
        <item x="10"/>
        <item x="11"/>
        <item x="1"/>
        <item x="2"/>
        <item x="3"/>
        <item t="default"/>
      </items>
    </pivotField>
    <pivotField dataField="1" showAll="0"/>
    <pivotField dataField="1" showAll="0"/>
    <pivotField dataField="1" showAll="0"/>
    <pivotField dataField="1" showAll="0"/>
    <pivotField dataField="1" showAll="0"/>
  </pivotFields>
  <rowFields count="1">
    <field x="0"/>
  </rowFields>
  <rowItems count="13">
    <i>
      <x/>
    </i>
    <i>
      <x v="1"/>
    </i>
    <i>
      <x v="2"/>
    </i>
    <i>
      <x v="3"/>
    </i>
    <i>
      <x v="4"/>
    </i>
    <i>
      <x v="5"/>
    </i>
    <i>
      <x v="6"/>
    </i>
    <i>
      <x v="7"/>
    </i>
    <i>
      <x v="8"/>
    </i>
    <i>
      <x v="9"/>
    </i>
    <i>
      <x v="10"/>
    </i>
    <i>
      <x v="11"/>
    </i>
    <i t="grand">
      <x/>
    </i>
  </rowItems>
  <colFields count="1">
    <field x="-2"/>
  </colFields>
  <colItems count="5">
    <i>
      <x/>
    </i>
    <i i="1">
      <x v="1"/>
    </i>
    <i i="2">
      <x v="2"/>
    </i>
    <i i="3">
      <x v="3"/>
    </i>
    <i i="4">
      <x v="4"/>
    </i>
  </colItems>
  <dataFields count="5">
    <dataField name="Sum of AvgOfDuration" fld="5" baseField="0" baseItem="0"/>
    <dataField name="Sum of CountNew" fld="1" baseField="0" baseItem="0"/>
    <dataField name="Sum of NewWages" fld="4" baseField="0" baseItem="0"/>
    <dataField name="Sum of OldWages" fld="3" baseField="0" baseItem="0"/>
    <dataField name="Sum of SERVICEDATE" fld="2" baseField="0" baseItem="0"/>
  </dataFields>
  <pivotTableStyleInfo name="PivotStyleLight16" showRowHeaders="1" showColHeaders="1" showRowStripes="0" showColStripes="0" showLastColumn="1"/>
</pivotTableDefinition>
</file>

<file path=xl/pivotTables/pivotTable11.xml><?xml version="1.0" encoding="utf-8"?>
<pivotTableDefinition xmlns="http://schemas.openxmlformats.org/spreadsheetml/2006/main" name="PivotTable8" cacheId="9"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72:I86" firstHeaderRow="1" firstDataRow="2" firstDataCol="1"/>
  <pivotFields count="9">
    <pivotField axis="axisRow" showAll="0">
      <items count="13">
        <item x="0"/>
        <item x="1"/>
        <item x="2"/>
        <item x="3"/>
        <item x="4"/>
        <item x="5"/>
        <item x="6"/>
        <item x="7"/>
        <item x="8"/>
        <item x="9"/>
        <item x="10"/>
        <item x="11"/>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13">
    <i>
      <x/>
    </i>
    <i>
      <x v="1"/>
    </i>
    <i>
      <x v="2"/>
    </i>
    <i>
      <x v="3"/>
    </i>
    <i>
      <x v="4"/>
    </i>
    <i>
      <x v="5"/>
    </i>
    <i>
      <x v="6"/>
    </i>
    <i>
      <x v="7"/>
    </i>
    <i>
      <x v="8"/>
    </i>
    <i>
      <x v="9"/>
    </i>
    <i>
      <x v="10"/>
    </i>
    <i>
      <x v="11"/>
    </i>
    <i t="grand">
      <x/>
    </i>
  </rowItems>
  <colFields count="1">
    <field x="-2"/>
  </colFields>
  <colItems count="8">
    <i>
      <x/>
    </i>
    <i i="1">
      <x v="1"/>
    </i>
    <i i="2">
      <x v="2"/>
    </i>
    <i i="3">
      <x v="3"/>
    </i>
    <i i="4">
      <x v="4"/>
    </i>
    <i i="5">
      <x v="5"/>
    </i>
    <i i="6">
      <x v="6"/>
    </i>
    <i i="7">
      <x v="7"/>
    </i>
  </colItems>
  <dataFields count="8">
    <dataField name="Sum of current" fld="1" baseField="0" baseItem="0"/>
    <dataField name="Sum of CurrentJOs" fld="5" baseField="0" baseItem="0"/>
    <dataField name="Sum of CurrentSalary" fld="3" baseField="0" baseItem="0"/>
    <dataField name="Sum of Lastyear" fld="2" baseField="0" baseItem="0"/>
    <dataField name="Sum of LastYears" fld="6" baseField="0" baseItem="0"/>
    <dataField name="Sum of Lastyearsalary" fld="4" baseField="0" baseItem="0"/>
    <dataField name="Sum of NAICSCurrent" fld="7" baseField="0" baseItem="0"/>
    <dataField name="Sum of NAICSPREVIOUS" fld="8" baseField="0" baseItem="0"/>
  </dataFields>
  <pivotTableStyleInfo name="PivotStyleLight16" showRowHeaders="1" showColHeaders="1" showRowStripes="0" showColStripes="0" showLastColumn="1"/>
</pivotTableDefinition>
</file>

<file path=xl/pivotTables/pivotTable12.xml><?xml version="1.0" encoding="utf-8"?>
<pivotTableDefinition xmlns="http://schemas.openxmlformats.org/spreadsheetml/2006/main" name="PivotTable7" cacheId="11"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54:I69" firstHeaderRow="1" firstDataRow="2" firstDataCol="1"/>
  <pivotFields count="9">
    <pivotField axis="axisRow" showAll="0">
      <items count="14">
        <item x="0"/>
        <item x="1"/>
        <item x="2"/>
        <item x="3"/>
        <item x="4"/>
        <item x="5"/>
        <item x="6"/>
        <item x="7"/>
        <item x="8"/>
        <item x="9"/>
        <item x="10"/>
        <item x="11"/>
        <item x="12"/>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14">
    <i>
      <x/>
    </i>
    <i>
      <x v="1"/>
    </i>
    <i>
      <x v="2"/>
    </i>
    <i>
      <x v="3"/>
    </i>
    <i>
      <x v="4"/>
    </i>
    <i>
      <x v="5"/>
    </i>
    <i>
      <x v="6"/>
    </i>
    <i>
      <x v="7"/>
    </i>
    <i>
      <x v="8"/>
    </i>
    <i>
      <x v="9"/>
    </i>
    <i>
      <x v="10"/>
    </i>
    <i>
      <x v="11"/>
    </i>
    <i>
      <x v="12"/>
    </i>
    <i t="grand">
      <x/>
    </i>
  </rowItems>
  <colFields count="1">
    <field x="-2"/>
  </colFields>
  <colItems count="8">
    <i>
      <x/>
    </i>
    <i i="1">
      <x v="1"/>
    </i>
    <i i="2">
      <x v="2"/>
    </i>
    <i i="3">
      <x v="3"/>
    </i>
    <i i="4">
      <x v="4"/>
    </i>
    <i i="5">
      <x v="5"/>
    </i>
    <i i="6">
      <x v="6"/>
    </i>
    <i i="7">
      <x v="7"/>
    </i>
  </colItems>
  <dataFields count="8">
    <dataField name="Sum of 3CountOfEmployersServed_EMPLOYER_ID" fld="7" baseField="0" baseItem="0"/>
    <dataField name="Sum of 3CountOfEmployersServed1YearAgo_EMPLOYER_ID" fld="8" baseField="0" baseItem="0"/>
    <dataField name="Sum of 3CountOfWAJobOrders1YearAgo_JOB_ORDER_ID" fld="3" baseField="0" baseItem="0"/>
    <dataField name="Sum of 3CountOfWAJobOrders1YearAgo_SumOfJOB OPENINGS" fld="4" baseField="0" baseItem="0"/>
    <dataField name="Sum of 3CountWAJobOrders_JOB_ORDER_ID" fld="1" baseField="0" baseItem="0"/>
    <dataField name="Sum of 3CountWAJobOrders_SumOfJOB OPENINGS" fld="2" baseField="0" baseItem="0"/>
    <dataField name="Sum of alljos" fld="5" baseField="0" baseItem="0"/>
    <dataField name="Sum of previousjos" fld="6" baseField="0" baseItem="0"/>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PivotTable3" cacheId="4"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12:H14" firstHeaderRow="1" firstDataRow="2" firstDataCol="0"/>
  <pivotFields count="8">
    <pivotField dataField="1" showAll="0"/>
    <pivotField dataField="1" showAll="0"/>
    <pivotField dataField="1" showAll="0"/>
    <pivotField dataField="1" showAll="0"/>
    <pivotField dataField="1" showAll="0"/>
    <pivotField dataField="1" showAll="0"/>
    <pivotField dataField="1" showAll="0"/>
    <pivotField dataField="1" showAll="0"/>
  </pivotFields>
  <rowItems count="1">
    <i/>
  </rowItems>
  <colFields count="1">
    <field x="-2"/>
  </colFields>
  <colItems count="8">
    <i>
      <x/>
    </i>
    <i i="1">
      <x v="1"/>
    </i>
    <i i="2">
      <x v="2"/>
    </i>
    <i i="3">
      <x v="3"/>
    </i>
    <i i="4">
      <x v="4"/>
    </i>
    <i i="5">
      <x v="5"/>
    </i>
    <i i="6">
      <x v="6"/>
    </i>
    <i i="7">
      <x v="7"/>
    </i>
  </colItems>
  <dataFields count="8">
    <dataField name="Sum of currentprogram" fld="0" baseField="0" baseItem="0"/>
    <dataField name="Sum of program1yearago" fld="1" baseField="0" baseItem="0"/>
    <dataField name="Sum of wiacurrent" fld="2" baseField="0" baseItem="0"/>
    <dataField name="Sum of wia1yearago" fld="3" baseField="0" baseItem="0"/>
    <dataField name="Sum of wianewcurrent" fld="4" baseField="0" baseItem="0"/>
    <dataField name="Sum of wianew1yearago" fld="5" baseField="0" baseItem="0"/>
    <dataField name="Sum of wiaexitcurrent" fld="6" baseField="0" baseItem="0"/>
    <dataField name="Sum of wiaexit1yearago" fld="7" baseField="0" baseItem="0"/>
  </data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PivotTable1" cacheId="7"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2:M4" firstHeaderRow="1" firstDataRow="2" firstDataCol="0"/>
  <pivotFields count="13">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defaultSubtotal="0"/>
    <pivotField dataField="1" showAll="0" defaultSubtotal="0"/>
  </pivotFields>
  <rowItems count="1">
    <i/>
  </rowItems>
  <colFields count="1">
    <field x="-2"/>
  </colFields>
  <colItems count="13">
    <i>
      <x/>
    </i>
    <i i="1">
      <x v="1"/>
    </i>
    <i i="2">
      <x v="2"/>
    </i>
    <i i="3">
      <x v="3"/>
    </i>
    <i i="4">
      <x v="4"/>
    </i>
    <i i="5">
      <x v="5"/>
    </i>
    <i i="6">
      <x v="6"/>
    </i>
    <i i="7">
      <x v="7"/>
    </i>
    <i i="8">
      <x v="8"/>
    </i>
    <i i="9">
      <x v="9"/>
    </i>
    <i i="10">
      <x v="10"/>
    </i>
    <i i="11">
      <x v="11"/>
    </i>
    <i i="12">
      <x v="12"/>
    </i>
  </colItems>
  <dataFields count="13">
    <dataField name="Sum of all" fld="0" baseField="0" baseItem="0"/>
    <dataField name="Sum of self" fld="1" baseField="0" baseItem="0"/>
    <dataField name="Sum of SSMS" fld="12" baseField="0" baseItem="0"/>
    <dataField name="Sum of GO2" fld="11" baseField="0" baseItem="0"/>
    <dataField name="Sum of staffassist" fld="2" baseField="0" baseItem="0"/>
    <dataField name="Sum of core" fld="3" baseField="0" baseItem="0"/>
    <dataField name="Sum of coreint" fld="4" baseField="0" baseItem="0"/>
    <dataField name="Sum of newtraining" fld="5" baseField="0" baseItem="0"/>
    <dataField name="Sum of ongoing" fld="6" baseField="0" baseItem="0"/>
    <dataField name="Sum of complete" fld="7" baseField="0" baseItem="0"/>
    <dataField name="Sum of UI" fld="8" baseField="0" baseItem="0"/>
    <dataField name="Sum of Vets" fld="9" baseField="0" baseItem="0"/>
    <dataField name="Sum of WF" fld="10" baseField="0" baseItem="0"/>
  </data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PivotTable5" cacheId="1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22:H24" firstHeaderRow="1" firstDataRow="2" firstDataCol="0"/>
  <pivotFields count="8">
    <pivotField dataField="1" showAll="0"/>
    <pivotField dataField="1" showAll="0"/>
    <pivotField dataField="1" showAll="0"/>
    <pivotField dataField="1" showAll="0"/>
    <pivotField dataField="1" showAll="0"/>
    <pivotField dataField="1" showAll="0"/>
    <pivotField dataField="1" showAll="0" defaultSubtotal="0"/>
    <pivotField dataField="1" showAll="0" defaultSubtotal="0"/>
  </pivotFields>
  <rowItems count="1">
    <i/>
  </rowItems>
  <colFields count="1">
    <field x="-2"/>
  </colFields>
  <colItems count="8">
    <i>
      <x/>
    </i>
    <i i="1">
      <x v="1"/>
    </i>
    <i i="2">
      <x v="2"/>
    </i>
    <i i="3">
      <x v="3"/>
    </i>
    <i i="4">
      <x v="4"/>
    </i>
    <i i="5">
      <x v="5"/>
    </i>
    <i i="6">
      <x v="6"/>
    </i>
    <i i="7">
      <x v="7"/>
    </i>
  </colItems>
  <dataFields count="8">
    <dataField name="Sum of current" fld="0" baseField="0" baseItem="0"/>
    <dataField name="Sum of Lastyear" fld="1" baseField="0" baseItem="0"/>
    <dataField name="Sum of CurrentJOs" fld="4" baseField="0" baseItem="0"/>
    <dataField name="Sum of CurrentSalary" fld="2" baseField="0" baseItem="0"/>
    <dataField name="Sum of LastYears" fld="5" baseField="0" baseItem="0"/>
    <dataField name="Sum of Lastyearsalary" fld="3" baseField="0" baseItem="0"/>
    <dataField name="Sum of JOB_ORDER_ID" fld="6" baseField="0" baseItem="0"/>
    <dataField name="Sum of JOB_ORDER_IDLastYear" fld="7" baseField="0" baseItem="0"/>
  </dataField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PivotTable4" cacheId="5"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17:H19" firstHeaderRow="1" firstDataRow="2" firstDataCol="0"/>
  <pivotFields count="8">
    <pivotField dataField="1" showAll="0"/>
    <pivotField dataField="1" showAll="0"/>
    <pivotField dataField="1" showAll="0"/>
    <pivotField dataField="1" showAll="0"/>
    <pivotField dataField="1" showAll="0"/>
    <pivotField dataField="1" showAll="0"/>
    <pivotField dataField="1" showAll="0"/>
    <pivotField dataField="1" showAll="0"/>
  </pivotFields>
  <rowItems count="1">
    <i/>
  </rowItems>
  <colFields count="1">
    <field x="-2"/>
  </colFields>
  <colItems count="8">
    <i>
      <x/>
    </i>
    <i i="1">
      <x v="1"/>
    </i>
    <i i="2">
      <x v="2"/>
    </i>
    <i i="3">
      <x v="3"/>
    </i>
    <i i="4">
      <x v="4"/>
    </i>
    <i i="5">
      <x v="5"/>
    </i>
    <i i="6">
      <x v="6"/>
    </i>
    <i i="7">
      <x v="7"/>
    </i>
  </colItems>
  <dataFields count="8">
    <dataField name="Sum of 3CountOfEmployersServed_EMPLOYER_ID" fld="6" baseField="0" baseItem="0"/>
    <dataField name="Sum of 3CountOfEmployersServed1YearAgo_EMPLOYER_ID" fld="7" baseField="0" baseItem="0"/>
    <dataField name="Sum of 3CountWAJobOrders_JOB_ORDER_ID" fld="0" baseField="0" baseItem="0"/>
    <dataField name="Sum of 3CountOfWAJobOrders1YearAgo_JOB_ORDER_ID" fld="2" baseField="0" baseItem="0"/>
    <dataField name="Sum of 3CountWAJobOrders_SumOfJOB OPENINGS" fld="1" baseField="0" baseItem="0"/>
    <dataField name="Sum of 3CountOfWAJobOrders1YearAgo_SumOfJOB OPENINGS" fld="3" baseField="0" baseItem="0"/>
    <dataField name="Sum of alljos" fld="4" baseField="0" baseItem="0"/>
    <dataField name="Sum of previousjos" fld="5" baseField="0" baseItem="0"/>
  </dataField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PivotTable2" cacheId="3"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7:D9" firstHeaderRow="1" firstDataRow="2" firstDataCol="0"/>
  <pivotFields count="4">
    <pivotField dataField="1" showAll="0"/>
    <pivotField dataField="1" showAll="0"/>
    <pivotField dataField="1" showAll="0"/>
    <pivotField dataField="1" showAll="0"/>
  </pivotFields>
  <rowItems count="1">
    <i/>
  </rowItems>
  <colFields count="1">
    <field x="-2"/>
  </colFields>
  <colItems count="4">
    <i>
      <x/>
    </i>
    <i i="1">
      <x v="1"/>
    </i>
    <i i="2">
      <x v="2"/>
    </i>
    <i i="3">
      <x v="3"/>
    </i>
  </colItems>
  <dataFields count="4">
    <dataField name="Sum of MgtIndCountJobSearch_SEEKERID" fld="0" baseField="0" baseItem="0"/>
    <dataField name="Sum of MgtIndCountAssessment_SEEKERID" fld="2" baseField="0" baseItem="0"/>
    <dataField name="Sum of MgtIndCountSkillsDev_SEEKERID" fld="1" baseField="0" baseItem="0"/>
    <dataField name="Sum of MgtIndCountCommSvcs_SEEKERID" fld="3" baseField="0" baseItem="0"/>
  </dataFields>
  <pivotTableStyleInfo name="PivotStyleLight16" showRowHeaders="1" showColHeaders="1" showRowStripes="0" showColStripes="0" showLastColumn="1"/>
</pivotTableDefinition>
</file>

<file path=xl/pivotTables/pivotTable7.xml><?xml version="1.0" encoding="utf-8"?>
<pivotTableDefinition xmlns="http://schemas.openxmlformats.org/spreadsheetml/2006/main" name="PivotTable6" cacheId="1"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37:I51" firstHeaderRow="1" firstDataRow="2" firstDataCol="1"/>
  <pivotFields count="9">
    <pivotField axis="axisRow" showAll="0">
      <items count="13">
        <item x="0"/>
        <item x="4"/>
        <item x="5"/>
        <item x="6"/>
        <item x="7"/>
        <item x="8"/>
        <item x="9"/>
        <item x="10"/>
        <item x="11"/>
        <item x="1"/>
        <item x="2"/>
        <item x="3"/>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13">
    <i>
      <x/>
    </i>
    <i>
      <x v="1"/>
    </i>
    <i>
      <x v="2"/>
    </i>
    <i>
      <x v="3"/>
    </i>
    <i>
      <x v="4"/>
    </i>
    <i>
      <x v="5"/>
    </i>
    <i>
      <x v="6"/>
    </i>
    <i>
      <x v="7"/>
    </i>
    <i>
      <x v="8"/>
    </i>
    <i>
      <x v="9"/>
    </i>
    <i>
      <x v="10"/>
    </i>
    <i>
      <x v="11"/>
    </i>
    <i t="grand">
      <x/>
    </i>
  </rowItems>
  <colFields count="1">
    <field x="-2"/>
  </colFields>
  <colItems count="8">
    <i>
      <x/>
    </i>
    <i i="1">
      <x v="1"/>
    </i>
    <i i="2">
      <x v="2"/>
    </i>
    <i i="3">
      <x v="3"/>
    </i>
    <i i="4">
      <x v="4"/>
    </i>
    <i i="5">
      <x v="5"/>
    </i>
    <i i="6">
      <x v="6"/>
    </i>
    <i i="7">
      <x v="7"/>
    </i>
  </colItems>
  <dataFields count="8">
    <dataField name="Sum of currentprogram" fld="1" baseField="0" baseItem="0"/>
    <dataField name="Sum of program1yearago" fld="2" baseField="0" baseItem="0"/>
    <dataField name="Sum of wiacurrent" fld="3" baseField="0" baseItem="0"/>
    <dataField name="Sum of wia1yearago" fld="4" baseField="0" baseItem="0"/>
    <dataField name="Sum of wianewcurrent" fld="5" baseField="0" baseItem="0"/>
    <dataField name="Sum of wianew1yearago" fld="6" baseField="0" baseItem="0"/>
    <dataField name="Sum of wiaexitcurrent" fld="7" baseField="0" baseItem="0"/>
    <dataField name="Sum of wiaexit1yearago" fld="8" baseField="0" baseItem="0"/>
  </dataFields>
  <pivotTableStyleInfo name="PivotStyleLight16" showRowHeaders="1" showColHeaders="1" showRowStripes="0" showColStripes="0" showLastColumn="1"/>
</pivotTableDefinition>
</file>

<file path=xl/pivotTables/pivotTable8.xml><?xml version="1.0" encoding="utf-8"?>
<pivotTableDefinition xmlns="http://schemas.openxmlformats.org/spreadsheetml/2006/main" name="PivotTable5" cacheId="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19:E33" firstHeaderRow="1" firstDataRow="2" firstDataCol="1"/>
  <pivotFields count="5">
    <pivotField axis="axisRow" showAll="0">
      <items count="14">
        <item x="0"/>
        <item x="1"/>
        <item x="2"/>
        <item x="3"/>
        <item m="1" x="12"/>
        <item x="4"/>
        <item x="5"/>
        <item x="6"/>
        <item x="7"/>
        <item x="8"/>
        <item x="9"/>
        <item x="10"/>
        <item x="11"/>
        <item t="default"/>
      </items>
    </pivotField>
    <pivotField dataField="1" showAll="0"/>
    <pivotField dataField="1" showAll="0"/>
    <pivotField dataField="1" showAll="0"/>
    <pivotField dataField="1" showAll="0"/>
  </pivotFields>
  <rowFields count="1">
    <field x="0"/>
  </rowFields>
  <rowItems count="13">
    <i>
      <x/>
    </i>
    <i>
      <x v="1"/>
    </i>
    <i>
      <x v="2"/>
    </i>
    <i>
      <x v="3"/>
    </i>
    <i>
      <x v="5"/>
    </i>
    <i>
      <x v="6"/>
    </i>
    <i>
      <x v="7"/>
    </i>
    <i>
      <x v="8"/>
    </i>
    <i>
      <x v="9"/>
    </i>
    <i>
      <x v="10"/>
    </i>
    <i>
      <x v="11"/>
    </i>
    <i>
      <x v="12"/>
    </i>
    <i t="grand">
      <x/>
    </i>
  </rowItems>
  <colFields count="1">
    <field x="-2"/>
  </colFields>
  <colItems count="4">
    <i>
      <x/>
    </i>
    <i i="1">
      <x v="1"/>
    </i>
    <i i="2">
      <x v="2"/>
    </i>
    <i i="3">
      <x v="3"/>
    </i>
  </colItems>
  <dataFields count="4">
    <dataField name="Sum of MgtIndCountSkillsDev_SEEKERID" fld="2" baseField="0" baseItem="0"/>
    <dataField name="Sum of MgtIndCountJobSearch_SEEKERID" fld="1" baseField="0" baseItem="0"/>
    <dataField name="Sum of MgtIndCountCommSvcs_SEEKERID" fld="4" baseField="0" baseItem="0"/>
    <dataField name="Sum of MgtIndCountAssessment_SEEKERID" fld="3" baseField="0" baseItem="0"/>
  </dataFields>
  <pivotTableStyleInfo name="PivotStyleLight16" showRowHeaders="1" showColHeaders="1" showRowStripes="0" showColStripes="0" showLastColumn="1"/>
</pivotTableDefinition>
</file>

<file path=xl/pivotTables/pivotTable9.xml><?xml version="1.0" encoding="utf-8"?>
<pivotTableDefinition xmlns="http://schemas.openxmlformats.org/spreadsheetml/2006/main" name="PivotTable3" cacheId="8"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2:N16" firstHeaderRow="1" firstDataRow="2" firstDataCol="1"/>
  <pivotFields count="14">
    <pivotField axis="axisRow" showAll="0">
      <items count="13">
        <item x="0"/>
        <item x="4"/>
        <item x="5"/>
        <item x="6"/>
        <item x="7"/>
        <item x="8"/>
        <item x="9"/>
        <item x="10"/>
        <item x="11"/>
        <item x="1"/>
        <item x="2"/>
        <item x="3"/>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defaultSubtotal="0"/>
    <pivotField dataField="1" showAll="0" defaultSubtotal="0"/>
  </pivotFields>
  <rowFields count="1">
    <field x="0"/>
  </rowFields>
  <rowItems count="13">
    <i>
      <x/>
    </i>
    <i>
      <x v="1"/>
    </i>
    <i>
      <x v="2"/>
    </i>
    <i>
      <x v="3"/>
    </i>
    <i>
      <x v="4"/>
    </i>
    <i>
      <x v="5"/>
    </i>
    <i>
      <x v="6"/>
    </i>
    <i>
      <x v="7"/>
    </i>
    <i>
      <x v="8"/>
    </i>
    <i>
      <x v="9"/>
    </i>
    <i>
      <x v="10"/>
    </i>
    <i>
      <x v="11"/>
    </i>
    <i t="grand">
      <x/>
    </i>
  </rowItems>
  <colFields count="1">
    <field x="-2"/>
  </colFields>
  <colItems count="13">
    <i>
      <x/>
    </i>
    <i i="1">
      <x v="1"/>
    </i>
    <i i="2">
      <x v="2"/>
    </i>
    <i i="3">
      <x v="3"/>
    </i>
    <i i="4">
      <x v="4"/>
    </i>
    <i i="5">
      <x v="5"/>
    </i>
    <i i="6">
      <x v="6"/>
    </i>
    <i i="7">
      <x v="7"/>
    </i>
    <i i="8">
      <x v="8"/>
    </i>
    <i i="9">
      <x v="9"/>
    </i>
    <i i="10">
      <x v="10"/>
    </i>
    <i i="11">
      <x v="11"/>
    </i>
    <i i="12">
      <x v="12"/>
    </i>
  </colItems>
  <dataFields count="13">
    <dataField name="Sum of all" fld="1" baseField="0" baseItem="0"/>
    <dataField name="Sum of self" fld="2" baseField="0" baseItem="0"/>
    <dataField name="Sum of SSMS" fld="13" baseField="0" baseItem="0"/>
    <dataField name="Sum of GO2" fld="12" baseField="0" baseItem="0"/>
    <dataField name="Sum of staffassist" fld="3" baseField="0" baseItem="0"/>
    <dataField name="Sum of core" fld="4" baseField="0" baseItem="0"/>
    <dataField name="Sum of coreint" fld="5" baseField="0" baseItem="0"/>
    <dataField name="Sum of newtraining" fld="6" baseField="0" baseItem="0"/>
    <dataField name="Sum of ongoing" fld="7" baseField="0" baseItem="0"/>
    <dataField name="Sum of complete" fld="8" baseField="0" baseItem="0"/>
    <dataField name="Sum of UI" fld="9" baseField="0" baseItem="0"/>
    <dataField name="Sum of Vets" fld="10" baseField="0" baseItem="0"/>
    <dataField name="Sum of WF" fld="11" baseField="0" baseItem="0"/>
  </dataFields>
  <pivotTableStyleInfo name="PivotStyleLight16" showRowHeaders="1" showColHeaders="1" showRowStripes="0" showColStripes="0" showLastColumn="1"/>
</pivotTableDefinition>
</file>

<file path=xl/tables/table1.xml><?xml version="1.0" encoding="utf-8"?>
<table xmlns="http://schemas.openxmlformats.org/spreadsheetml/2006/main" id="1" name="Table1" displayName="Table1" ref="A2:K15" totalsRowShown="0" tableBorderDxfId="10">
  <autoFilter ref="A2:K15"/>
  <sortState ref="A3:K15">
    <sortCondition ref="A2:A15"/>
  </sortState>
  <tableColumns count="11">
    <tableColumn id="1" name="Area#"/>
    <tableColumn id="2" name="Workforce Development Area" dataDxfId="9"/>
    <tableColumn id="3" name="Entered Employment" dataDxfId="8"/>
    <tableColumn id="4" name="Entered Employment Base" dataDxfId="7"/>
    <tableColumn id="5" name="Entered Employment Rate" dataDxfId="6">
      <calculatedColumnFormula>Table1[[#This Row],[Entered Employment]]/Table1[[#This Row],[Entered Employment Base]]</calculatedColumnFormula>
    </tableColumn>
    <tableColumn id="6" name="Employment Retention" dataDxfId="5"/>
    <tableColumn id="7" name="Employment Retention Base" dataDxfId="4"/>
    <tableColumn id="8" name="Employment Retention Rate" dataDxfId="3" dataCellStyle="Percent">
      <calculatedColumnFormula>Table1[[#This Row],[Employment Retention]]/Table1[[#This Row],[Employment Retention Base]]</calculatedColumnFormula>
    </tableColumn>
    <tableColumn id="9" name="Total Earnings" dataDxfId="2"/>
    <tableColumn id="10" name="Average Earnings Base" dataDxfId="1"/>
    <tableColumn id="11" name="Average Earnings" dataDxfId="0">
      <calculatedColumnFormula>Table1[[#This Row],[Total Earnings]]/Table1[[#This Row],[Average Earnings Base]]</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lehd.did.census.gov/cgi-bin/broker?_SERVICE=industry_focus&amp;_PROGRAM=pgm.top_report.sas&amp;_report=no&amp;_question=1+&amp;_state=+&amp;_entity=state&amp;_Ind2=off&amp;_Ind3=off&amp;_output=1&amp;_output=2&amp;_top=10&amp;_question=1&amp;_table=no&amp;_rankings=%20%20%201&amp;_sex=0&amp;_agegroup=A00&amp;_g" TargetMode="External"/><Relationship Id="rId13" Type="http://schemas.openxmlformats.org/officeDocument/2006/relationships/vmlDrawing" Target="../drawings/vmlDrawing2.vml"/><Relationship Id="rId3" Type="http://schemas.openxmlformats.org/officeDocument/2006/relationships/hyperlink" Target="https://fortress.wa.gov/esd/employmentdata/reports-publications/regional-reports/local-unemployment-statistics" TargetMode="External"/><Relationship Id="rId7" Type="http://schemas.openxmlformats.org/officeDocument/2006/relationships/hyperlink" Target="http://lehd.did.census.gov/cgi-bin/broker?_SERVICE=industry_focus&amp;_PROGRAM=pgm.top_report.sas&amp;_report=no&amp;_question=1+&amp;_state=+&amp;_entity=state&amp;_Ind2=off&amp;_Ind3=off&amp;_output=1&amp;_output=2&amp;_top=10&amp;_question=1&amp;_table=no&amp;_rankings=%20%20%201&amp;_sex=0&amp;_agegroup=A00&amp;_g" TargetMode="External"/><Relationship Id="rId12" Type="http://schemas.openxmlformats.org/officeDocument/2006/relationships/drawing" Target="../drawings/drawing7.xml"/><Relationship Id="rId2" Type="http://schemas.openxmlformats.org/officeDocument/2006/relationships/hyperlink" Target="http://lehd.did.census.gov/cgi-bin/pivot_main?xstate=wa&amp;xstyle=lehd&amp;xyear=2010&amp;xgeographic=WIB&amp;value=00000100&amp;head=Olympic%20WIB&amp;xdata=Avg_New_Hire_Earnings" TargetMode="External"/><Relationship Id="rId1" Type="http://schemas.openxmlformats.org/officeDocument/2006/relationships/hyperlink" Target="http://www.k12.wa.us/dataadmin/pubdocs/GradDropout/09-10/AppendixC2009-10.xls" TargetMode="External"/><Relationship Id="rId6" Type="http://schemas.openxmlformats.org/officeDocument/2006/relationships/hyperlink" Target="http://wdr.doleta.gov/directives/corr_doc.cfm?DOCN=2195" TargetMode="External"/><Relationship Id="rId11" Type="http://schemas.openxmlformats.org/officeDocument/2006/relationships/printerSettings" Target="../printerSettings/printerSettings7.bin"/><Relationship Id="rId5" Type="http://schemas.openxmlformats.org/officeDocument/2006/relationships/hyperlink" Target="https://fortress.wa.gov/esd/employmentdata/reports-publications/regional-reports/local-unemployment-statistics" TargetMode="External"/><Relationship Id="rId15" Type="http://schemas.openxmlformats.org/officeDocument/2006/relationships/image" Target="../media/image3.emf"/><Relationship Id="rId10" Type="http://schemas.openxmlformats.org/officeDocument/2006/relationships/hyperlink" Target="https://fortress.wa.gov/esd/employmentdata/docs/industry-reports/qcew-annual-averages-2010-revised.xlsx" TargetMode="External"/><Relationship Id="rId4" Type="http://schemas.openxmlformats.org/officeDocument/2006/relationships/hyperlink" Target="http://www.statsamerica.org/profiles/sbs_profile_frame.html" TargetMode="External"/><Relationship Id="rId9" Type="http://schemas.openxmlformats.org/officeDocument/2006/relationships/hyperlink" Target="https://fortress.wa.gov/esd/employmentdata/docs/industry-reports/qcew-annual-averages-2010-revised.xlsx" TargetMode="External"/><Relationship Id="rId1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printerSettings" Target="../printerSettings/printerSettings8.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9.xml.rels><?xml version="1.0" encoding="UTF-8" standalone="yes"?>
<Relationships xmlns="http://schemas.openxmlformats.org/package/2006/relationships"><Relationship Id="rId3" Type="http://schemas.openxmlformats.org/officeDocument/2006/relationships/pivotTable" Target="../pivotTables/pivotTable9.xml"/><Relationship Id="rId7" Type="http://schemas.openxmlformats.org/officeDocument/2006/relationships/printerSettings" Target="../printerSettings/printerSettings9.bin"/><Relationship Id="rId2" Type="http://schemas.openxmlformats.org/officeDocument/2006/relationships/pivotTable" Target="../pivotTables/pivotTable8.xml"/><Relationship Id="rId1" Type="http://schemas.openxmlformats.org/officeDocument/2006/relationships/pivotTable" Target="../pivotTables/pivotTable7.xml"/><Relationship Id="rId6" Type="http://schemas.openxmlformats.org/officeDocument/2006/relationships/pivotTable" Target="../pivotTables/pivotTable12.xml"/><Relationship Id="rId5" Type="http://schemas.openxmlformats.org/officeDocument/2006/relationships/pivotTable" Target="../pivotTables/pivotTable11.xml"/><Relationship Id="rId4" Type="http://schemas.openxmlformats.org/officeDocument/2006/relationships/pivotTable" Target="../pivotTables/pivotTable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ublished="0">
    <pageSetUpPr fitToPage="1"/>
  </sheetPr>
  <dimension ref="A1:P75"/>
  <sheetViews>
    <sheetView tabSelected="1" zoomScale="80" zoomScaleNormal="80" workbookViewId="0">
      <selection activeCell="B1" sqref="B1"/>
    </sheetView>
  </sheetViews>
  <sheetFormatPr defaultRowHeight="18.75" x14ac:dyDescent="0.3"/>
  <cols>
    <col min="1" max="1" width="2.19921875" bestFit="1" customWidth="1"/>
    <col min="2" max="2" width="29.19921875" style="5" bestFit="1" customWidth="1"/>
    <col min="3" max="3" width="13.296875" style="97" bestFit="1" customWidth="1"/>
    <col min="4" max="4" width="21.796875" style="97" bestFit="1" customWidth="1"/>
    <col min="5" max="5" width="3.19921875" style="77" customWidth="1"/>
    <col min="6" max="6" width="31.5" style="8" bestFit="1" customWidth="1"/>
    <col min="7" max="7" width="14.3984375" style="8" bestFit="1" customWidth="1"/>
    <col min="8" max="8" width="9.5" style="8" bestFit="1" customWidth="1"/>
    <col min="9" max="9" width="10.19921875" style="1" customWidth="1"/>
    <col min="10" max="10" width="21.796875" style="1" customWidth="1"/>
    <col min="11" max="11" width="3.3984375" customWidth="1"/>
  </cols>
  <sheetData>
    <row r="1" spans="1:11" ht="28.5" x14ac:dyDescent="0.45">
      <c r="A1" s="505">
        <f>VLOOKUP(B1,Lists!F2:G13,2,)</f>
        <v>5</v>
      </c>
      <c r="B1" s="504" t="s">
        <v>137</v>
      </c>
      <c r="C1" s="298" t="s">
        <v>286</v>
      </c>
      <c r="D1" s="298">
        <v>2011</v>
      </c>
      <c r="E1" s="299"/>
      <c r="F1" s="300" t="s">
        <v>305</v>
      </c>
      <c r="G1" s="506" t="str">
        <f>VLOOKUP(F1,Lists!A20:I32,9,)</f>
        <v>APR-JUN 2012</v>
      </c>
      <c r="H1" s="301" t="str">
        <f>VLOOKUP(B1,Lists!A2:C13,3,)</f>
        <v>V</v>
      </c>
      <c r="I1" s="294"/>
      <c r="J1" s="302"/>
      <c r="K1" s="302"/>
    </row>
    <row r="2" spans="1:11" s="17" customFormat="1" ht="22.15" customHeight="1" x14ac:dyDescent="0.5">
      <c r="A2" s="292"/>
      <c r="B2" s="561" t="s">
        <v>187</v>
      </c>
      <c r="C2" s="561"/>
      <c r="D2" s="561"/>
      <c r="E2" s="171"/>
      <c r="F2" s="561" t="s">
        <v>188</v>
      </c>
      <c r="G2" s="561"/>
      <c r="H2" s="561"/>
      <c r="I2" s="561"/>
      <c r="J2" s="561"/>
      <c r="K2" s="561"/>
    </row>
    <row r="3" spans="1:11" x14ac:dyDescent="0.3">
      <c r="A3" s="151"/>
      <c r="B3" s="373" t="s">
        <v>76</v>
      </c>
      <c r="C3" s="307" t="s">
        <v>666</v>
      </c>
      <c r="D3" s="307" t="s">
        <v>610</v>
      </c>
      <c r="E3" s="277"/>
      <c r="F3" s="309" t="s">
        <v>1</v>
      </c>
      <c r="G3" s="307" t="s">
        <v>20</v>
      </c>
      <c r="H3" s="548" t="s">
        <v>24</v>
      </c>
      <c r="I3" s="307" t="s">
        <v>45</v>
      </c>
      <c r="J3" s="307" t="s">
        <v>91</v>
      </c>
      <c r="K3" s="304"/>
    </row>
    <row r="4" spans="1:11" s="1" customFormat="1" x14ac:dyDescent="0.3">
      <c r="A4" s="305"/>
      <c r="B4" s="375" t="s">
        <v>8</v>
      </c>
      <c r="C4" s="376">
        <f>GETPIVOTDATA("Sum of all",'Area Pivot Tables'!A2,"REGION_ID",A1)</f>
        <v>35333</v>
      </c>
      <c r="D4" s="377" t="s">
        <v>608</v>
      </c>
      <c r="E4" s="378"/>
      <c r="F4" s="379" t="s">
        <v>21</v>
      </c>
      <c r="G4" s="380">
        <f>VLOOKUP($A$1,'Common Measures'!$A$3:$K$15,3,)</f>
        <v>31573</v>
      </c>
      <c r="H4" s="380">
        <f>VLOOKUP($A$1,'Common Measures'!$A$3:$K$15,4,)</f>
        <v>64379</v>
      </c>
      <c r="I4" s="381">
        <f>VLOOKUP($A$1,'Common Measures'!$A$3:$K$15,5,)</f>
        <v>0.49042389599092873</v>
      </c>
      <c r="J4" s="382">
        <v>0.52</v>
      </c>
      <c r="K4" s="306"/>
    </row>
    <row r="5" spans="1:11" x14ac:dyDescent="0.3">
      <c r="A5" s="151"/>
      <c r="B5" s="383" t="s">
        <v>81</v>
      </c>
      <c r="C5" s="384">
        <f>GETPIVOTDATA("Sum of staffassist",'Area Pivot Tables'!A2,"REGION_ID",A1)</f>
        <v>20228</v>
      </c>
      <c r="D5" s="385">
        <f>C5/C4</f>
        <v>0.57249596694308436</v>
      </c>
      <c r="E5" s="386"/>
      <c r="F5" s="387"/>
      <c r="G5" s="388"/>
      <c r="H5" s="388"/>
      <c r="I5" s="389"/>
      <c r="J5" s="390"/>
      <c r="K5" s="304"/>
    </row>
    <row r="6" spans="1:11" x14ac:dyDescent="0.3">
      <c r="A6" s="151"/>
      <c r="B6" s="391" t="s">
        <v>41</v>
      </c>
      <c r="C6" s="376">
        <f>GETPIVOTDATA("Sum of self",'Area Pivot Tables'!A2,"REGION_ID",A1)</f>
        <v>15105</v>
      </c>
      <c r="D6" s="392">
        <f>C6/C4</f>
        <v>0.42750403305691564</v>
      </c>
      <c r="E6" s="386"/>
      <c r="F6" s="379" t="s">
        <v>10</v>
      </c>
      <c r="G6" s="380">
        <f>VLOOKUP('Area Data'!A1,'Common Measures'!$A$19:$AK$31,2,)</f>
        <v>251</v>
      </c>
      <c r="H6" s="380">
        <f>VLOOKUP('Area Data'!A1,'Common Measures'!$A$19:$AK$31,3,)</f>
        <v>352</v>
      </c>
      <c r="I6" s="382">
        <f>VLOOKUP('Area Data'!A1,'Common Measures'!$A$19:$AK$31,4,)</f>
        <v>0.71306818181818177</v>
      </c>
      <c r="J6" s="382">
        <f>VLOOKUP('Area Data'!A1,'Common Measures'!$A$19:$AK$31,5,)</f>
        <v>0.71399999999999997</v>
      </c>
      <c r="K6" s="304"/>
    </row>
    <row r="7" spans="1:11" x14ac:dyDescent="0.3">
      <c r="A7" s="151"/>
      <c r="B7" s="533" t="s">
        <v>693</v>
      </c>
      <c r="C7" s="376">
        <f>GETPIVOTDATA("Sum of SSMS",'Area Pivot Tables'!$A$2,"REGION_ID",A1)</f>
        <v>6196</v>
      </c>
      <c r="D7" s="392"/>
      <c r="E7" s="386"/>
      <c r="F7" s="387"/>
      <c r="G7" s="388"/>
      <c r="H7" s="388"/>
      <c r="I7" s="390"/>
      <c r="J7" s="390"/>
      <c r="K7" s="304"/>
    </row>
    <row r="8" spans="1:11" s="1" customFormat="1" x14ac:dyDescent="0.3">
      <c r="A8" s="151"/>
      <c r="B8" s="533" t="s">
        <v>697</v>
      </c>
      <c r="C8" s="376">
        <f>GETPIVOTDATA("Sum of GO2",'Area Pivot Tables'!$A$2,"REGION_ID",A1)</f>
        <v>11653</v>
      </c>
      <c r="D8" s="392"/>
      <c r="E8" s="378"/>
      <c r="F8" s="379" t="s">
        <v>22</v>
      </c>
      <c r="G8" s="380">
        <f>VLOOKUP('Area Data'!A1,'Common Measures'!$A$19:$AK$31,14,)</f>
        <v>669</v>
      </c>
      <c r="H8" s="380">
        <f>VLOOKUP('Area Data'!A1,'Common Measures'!$A$19:$AK$31,15,)</f>
        <v>856</v>
      </c>
      <c r="I8" s="382">
        <f>VLOOKUP('Area Data'!A1,'Common Measures'!$A$19:$AK$31,16,)</f>
        <v>0.78154205607476634</v>
      </c>
      <c r="J8" s="382">
        <f>VLOOKUP('Area Data'!A1,'Common Measures'!$A$19:$AK$31,17,)</f>
        <v>0.67600000000000005</v>
      </c>
      <c r="K8" s="306"/>
    </row>
    <row r="9" spans="1:11" x14ac:dyDescent="0.3">
      <c r="A9" s="305"/>
      <c r="B9" s="383" t="s">
        <v>567</v>
      </c>
      <c r="C9" s="384">
        <f>GETPIVOTDATA("Sum of UI",'Area Pivot Tables'!$A$2,"REGION_ID",A1)</f>
        <v>12620</v>
      </c>
      <c r="D9" s="385">
        <f>C9/$C$5</f>
        <v>0.6238876804429504</v>
      </c>
      <c r="E9" s="386"/>
      <c r="F9" s="393" t="s">
        <v>2</v>
      </c>
      <c r="G9" s="548" t="s">
        <v>23</v>
      </c>
      <c r="H9" s="548" t="s">
        <v>24</v>
      </c>
      <c r="I9" s="548" t="s">
        <v>0</v>
      </c>
      <c r="J9" s="548" t="s">
        <v>91</v>
      </c>
      <c r="K9" s="304"/>
    </row>
    <row r="10" spans="1:11" x14ac:dyDescent="0.3">
      <c r="A10" s="151"/>
      <c r="B10" s="391" t="s">
        <v>568</v>
      </c>
      <c r="C10" s="376">
        <f>GETPIVOTDATA("Sum of Vets",'Area Pivot Tables'!$A$2,"REGION_ID",A1)</f>
        <v>1453</v>
      </c>
      <c r="D10" s="392">
        <f t="shared" ref="D10:D11" si="0">C10/$C$5</f>
        <v>7.1831125173027491E-2</v>
      </c>
      <c r="E10" s="386"/>
      <c r="F10" s="379" t="s">
        <v>21</v>
      </c>
      <c r="G10" s="380">
        <f>VLOOKUP($A$1,'Common Measures'!$A$3:$K$15,6,)</f>
        <v>28618</v>
      </c>
      <c r="H10" s="380">
        <f>VLOOKUP($A$1,'Common Measures'!$A$3:$K$15,7,)</f>
        <v>35201</v>
      </c>
      <c r="I10" s="381">
        <f>VLOOKUP($A$1,'Common Measures'!$A$3:$K$15,8,)</f>
        <v>0.81298826737876762</v>
      </c>
      <c r="J10" s="382">
        <v>0.76600000000000001</v>
      </c>
      <c r="K10" s="304"/>
    </row>
    <row r="11" spans="1:11" x14ac:dyDescent="0.3">
      <c r="A11" s="151"/>
      <c r="B11" s="383" t="s">
        <v>569</v>
      </c>
      <c r="C11" s="384">
        <f>GETPIVOTDATA("Sum of WF",'Area Pivot Tables'!$A$2,"REGION_ID",A1)</f>
        <v>1197</v>
      </c>
      <c r="D11" s="385">
        <f t="shared" si="0"/>
        <v>5.9175400435040541E-2</v>
      </c>
      <c r="E11" s="386"/>
      <c r="F11" s="387"/>
      <c r="G11" s="388"/>
      <c r="H11" s="388"/>
      <c r="I11" s="389"/>
      <c r="J11" s="390"/>
      <c r="K11" s="304"/>
    </row>
    <row r="12" spans="1:11" x14ac:dyDescent="0.3">
      <c r="A12" s="151"/>
      <c r="B12" s="391" t="s">
        <v>42</v>
      </c>
      <c r="C12" s="376">
        <f>GETPIVOTDATA("Sum of core",'Area Pivot Tables'!A2,"REGION_ID",A1)</f>
        <v>17964</v>
      </c>
      <c r="D12" s="392">
        <f>C12/$C$5</f>
        <v>0.88807593434842791</v>
      </c>
      <c r="E12" s="386"/>
      <c r="F12" s="379" t="s">
        <v>10</v>
      </c>
      <c r="G12" s="380">
        <f>VLOOKUP('Area Data'!A1,'Common Measures'!$A$19:$AK$31,6,)</f>
        <v>362</v>
      </c>
      <c r="H12" s="380">
        <f>VLOOKUP('Area Data'!A1,'Common Measures'!$A$19:$AK$31,7,)</f>
        <v>396</v>
      </c>
      <c r="I12" s="382">
        <f>VLOOKUP('Area Data'!A1,'Common Measures'!$A$19:$AK$31,8,)</f>
        <v>0.91414141414141414</v>
      </c>
      <c r="J12" s="382">
        <f>VLOOKUP('Area Data'!A1,'Common Measures'!$A$19:$AK$31,9,)</f>
        <v>0.81899999999999995</v>
      </c>
      <c r="K12" s="304"/>
    </row>
    <row r="13" spans="1:11" x14ac:dyDescent="0.3">
      <c r="A13" s="151"/>
      <c r="B13" s="383" t="s">
        <v>39</v>
      </c>
      <c r="C13" s="384">
        <f>GETPIVOTDATA("Sum of coreint",'Area Pivot Tables'!A2,"REGION_ID",A1)</f>
        <v>1637</v>
      </c>
      <c r="D13" s="385">
        <f>C13/$C$5</f>
        <v>8.0927427328455606E-2</v>
      </c>
      <c r="E13" s="386"/>
      <c r="F13" s="387"/>
      <c r="G13" s="388"/>
      <c r="H13" s="388"/>
      <c r="I13" s="390"/>
      <c r="J13" s="390"/>
      <c r="K13" s="304"/>
    </row>
    <row r="14" spans="1:11" x14ac:dyDescent="0.3">
      <c r="A14" s="151"/>
      <c r="B14" s="391" t="s">
        <v>82</v>
      </c>
      <c r="C14" s="394">
        <f>GETPIVOTDATA("Sum of newtraining",'Area Pivot Tables'!A2,"REGION_ID",A1)</f>
        <v>627</v>
      </c>
      <c r="D14" s="392">
        <f>C14/$C$5</f>
        <v>3.0996638323116471E-2</v>
      </c>
      <c r="E14" s="386"/>
      <c r="F14" s="379" t="s">
        <v>22</v>
      </c>
      <c r="G14" s="380">
        <f>VLOOKUP('Area Data'!A1,'Common Measures'!$A$19:$AK$31,18,)</f>
        <v>552</v>
      </c>
      <c r="H14" s="380">
        <f>VLOOKUP('Area Data'!A1,'Common Measures'!$A$19:$AK$31,19,)</f>
        <v>625</v>
      </c>
      <c r="I14" s="382">
        <f>VLOOKUP('Area Data'!A1,'Common Measures'!$A$19:$AK$31,20,)</f>
        <v>0.88319999999999999</v>
      </c>
      <c r="J14" s="382">
        <f>VLOOKUP('Area Data'!A1,'Common Measures'!$A$19:$AK$31,21,)</f>
        <v>0.83699999999999997</v>
      </c>
      <c r="K14" s="304"/>
    </row>
    <row r="15" spans="1:11" x14ac:dyDescent="0.3">
      <c r="A15" s="151"/>
      <c r="B15" s="383" t="s">
        <v>83</v>
      </c>
      <c r="C15" s="384">
        <f>GETPIVOTDATA("Sum of ongoing",'Area Pivot Tables'!A2,"REGION_ID",A1)</f>
        <v>1755</v>
      </c>
      <c r="D15" s="385">
        <f>C15/$C$5</f>
        <v>8.6760925449871462E-2</v>
      </c>
      <c r="E15" s="386"/>
      <c r="F15" s="393" t="s">
        <v>3</v>
      </c>
      <c r="G15" s="393" t="s">
        <v>25</v>
      </c>
      <c r="H15" s="548" t="s">
        <v>24</v>
      </c>
      <c r="I15" s="393" t="s">
        <v>0</v>
      </c>
      <c r="J15" s="393" t="s">
        <v>91</v>
      </c>
      <c r="K15" s="304"/>
    </row>
    <row r="16" spans="1:11" x14ac:dyDescent="0.3">
      <c r="A16" s="151"/>
      <c r="B16" s="395" t="s">
        <v>28</v>
      </c>
      <c r="C16" s="396">
        <f>GETPIVOTDATA("Sum of complete",'Area Pivot Tables'!A2,"REGION_ID",A1)</f>
        <v>822</v>
      </c>
      <c r="D16" s="392">
        <f>C16/$C$5</f>
        <v>4.0636741150879965E-2</v>
      </c>
      <c r="E16" s="386"/>
      <c r="F16" s="379" t="s">
        <v>21</v>
      </c>
      <c r="G16" s="400">
        <f>VLOOKUP($A$1,'Common Measures'!$A$3:$K$15,9,)</f>
        <v>520051738</v>
      </c>
      <c r="H16" s="401">
        <f>VLOOKUP($A$1,'Common Measures'!$A$3:$K$15,10,)</f>
        <v>28328</v>
      </c>
      <c r="I16" s="400">
        <f>VLOOKUP($A$1,'Common Measures'!$A$3:$K$15,11,)</f>
        <v>18358.222889014403</v>
      </c>
      <c r="J16" s="402">
        <f>'Common Measures'!G16</f>
        <v>13500</v>
      </c>
      <c r="K16" s="304"/>
    </row>
    <row r="17" spans="1:16" x14ac:dyDescent="0.3">
      <c r="A17" s="151"/>
      <c r="B17" s="374" t="s">
        <v>77</v>
      </c>
      <c r="C17" s="544" t="s">
        <v>664</v>
      </c>
      <c r="D17" s="397" t="s">
        <v>186</v>
      </c>
      <c r="E17" s="386"/>
      <c r="F17" s="387"/>
      <c r="G17" s="405"/>
      <c r="H17" s="406"/>
      <c r="I17" s="405"/>
      <c r="J17" s="407"/>
      <c r="K17" s="304"/>
    </row>
    <row r="18" spans="1:16" x14ac:dyDescent="0.3">
      <c r="A18" s="151"/>
      <c r="B18" s="379" t="s">
        <v>246</v>
      </c>
      <c r="C18" s="398">
        <f>GETPIVOTDATA("Sum of MgtIndCountJobSearch_SEEKERID",'Area Pivot Tables'!$A$19,"REGIONID",A1)</f>
        <v>11742</v>
      </c>
      <c r="D18" s="399">
        <f>C18/$C$5</f>
        <v>0.5804824995056358</v>
      </c>
      <c r="E18" s="386"/>
      <c r="F18" s="379" t="s">
        <v>10</v>
      </c>
      <c r="G18" s="380">
        <f>VLOOKUP('Area Data'!A1,'Common Measures'!$A$19:$AK$31,10,)</f>
        <v>5832294</v>
      </c>
      <c r="H18" s="380">
        <f>VLOOKUP('Area Data'!A1,'Common Measures'!$A$19:$AK$31,11,)</f>
        <v>362</v>
      </c>
      <c r="I18" s="402">
        <f>VLOOKUP('Area Data'!A1,'Common Measures'!$A$19:$AK$31,12,)</f>
        <v>16111.309392265193</v>
      </c>
      <c r="J18" s="402">
        <f>VLOOKUP('Area Data'!A1,'Common Measures'!$A$19:$AK$31,13,)</f>
        <v>10744</v>
      </c>
      <c r="K18" s="304"/>
    </row>
    <row r="19" spans="1:16" x14ac:dyDescent="0.3">
      <c r="A19" s="151"/>
      <c r="B19" s="403" t="s">
        <v>43</v>
      </c>
      <c r="C19" s="384">
        <f>GETPIVOTDATA("Sum of MgtIndCountAssessment_SEEKERID",'Area Pivot Tables'!$A$19,"REGIONID",A1)</f>
        <v>5848</v>
      </c>
      <c r="D19" s="404">
        <f>C19/$C$5</f>
        <v>0.28910421198338937</v>
      </c>
      <c r="E19" s="386"/>
      <c r="F19" s="387"/>
      <c r="G19" s="388"/>
      <c r="H19" s="388"/>
      <c r="I19" s="407"/>
      <c r="J19" s="407"/>
      <c r="K19" s="304"/>
    </row>
    <row r="20" spans="1:16" x14ac:dyDescent="0.3">
      <c r="A20" s="305"/>
      <c r="B20" s="408" t="s">
        <v>11</v>
      </c>
      <c r="C20" s="398">
        <f>GETPIVOTDATA("Sum of MgtIndCountSkillsDev_SEEKERID",'Area Pivot Tables'!$A$19,"REGIONID",A1)</f>
        <v>1323</v>
      </c>
      <c r="D20" s="399">
        <f>C20/$C$5</f>
        <v>6.5404389954518485E-2</v>
      </c>
      <c r="E20" s="386"/>
      <c r="F20" s="379" t="s">
        <v>22</v>
      </c>
      <c r="G20" s="380">
        <f>VLOOKUP('Area Data'!A1,'Common Measures'!$A$19:$AK$31,22,)</f>
        <v>13382114</v>
      </c>
      <c r="H20" s="380">
        <f>VLOOKUP('Area Data'!A1,'Common Measures'!$A$19:$AK$31,23,)</f>
        <v>552</v>
      </c>
      <c r="I20" s="402">
        <f>VLOOKUP('Area Data'!A1,'Common Measures'!$A$19:$AK$31,24,)</f>
        <v>24242.960144927536</v>
      </c>
      <c r="J20" s="402">
        <f>VLOOKUP('Area Data'!A1,'Common Measures'!$A$19:$AK$31,25,)</f>
        <v>16234</v>
      </c>
      <c r="K20" s="304"/>
    </row>
    <row r="21" spans="1:16" s="1" customFormat="1" x14ac:dyDescent="0.3">
      <c r="A21" s="151"/>
      <c r="B21" s="383" t="s">
        <v>44</v>
      </c>
      <c r="C21" s="384">
        <f>GETPIVOTDATA("Sum of MgtIndCountCommSvcs_SEEKERID",'Area Pivot Tables'!$A$19,"REGIONID",A1)</f>
        <v>323</v>
      </c>
      <c r="D21" s="404">
        <f>C21/$C$5</f>
        <v>1.5967965196756969E-2</v>
      </c>
      <c r="E21" s="386"/>
      <c r="F21" s="393" t="s">
        <v>4</v>
      </c>
      <c r="G21" s="548" t="s">
        <v>29</v>
      </c>
      <c r="H21" s="548" t="s">
        <v>24</v>
      </c>
      <c r="I21" s="548" t="s">
        <v>0</v>
      </c>
      <c r="J21" s="548" t="s">
        <v>91</v>
      </c>
      <c r="K21" s="304"/>
    </row>
    <row r="22" spans="1:16" x14ac:dyDescent="0.3">
      <c r="A22" s="151"/>
      <c r="B22" s="374" t="s">
        <v>13</v>
      </c>
      <c r="C22" s="544" t="s">
        <v>665</v>
      </c>
      <c r="D22" s="543" t="s">
        <v>85</v>
      </c>
      <c r="E22" s="386"/>
      <c r="F22" s="379" t="s">
        <v>5</v>
      </c>
      <c r="G22" s="380">
        <f>VLOOKUP('Area Data'!A1,'Common Measures'!$A$19:$AK$31,26,)</f>
        <v>201</v>
      </c>
      <c r="H22" s="380">
        <f>VLOOKUP('Area Data'!A1,'Common Measures'!$A$19:$AK$31,27,)</f>
        <v>246</v>
      </c>
      <c r="I22" s="382">
        <f>VLOOKUP('Area Data'!A1,'Common Measures'!$A$19:$AK$31,28,)</f>
        <v>0.81707317073170727</v>
      </c>
      <c r="J22" s="382">
        <f>VLOOKUP('Area Data'!A1,'Common Measures'!$A$19:$AK$31,29,)</f>
        <v>0.75800000000000001</v>
      </c>
      <c r="K22" s="304"/>
    </row>
    <row r="23" spans="1:16" x14ac:dyDescent="0.3">
      <c r="A23" s="151"/>
      <c r="B23" s="391" t="s">
        <v>13</v>
      </c>
      <c r="C23" s="376">
        <f>GETPIVOTDATA("Sum of currentprogram",'Area Pivot Tables'!$A$37,"REGIONID",A1)</f>
        <v>3078</v>
      </c>
      <c r="D23" s="409">
        <f>GETPIVOTDATA("Sum of program1yearago",'Area Pivot Tables'!$A$37,"REGIONID",A1)</f>
        <v>3379</v>
      </c>
      <c r="E23" s="386"/>
      <c r="F23" s="387"/>
      <c r="G23" s="388"/>
      <c r="H23" s="388"/>
      <c r="I23" s="390"/>
      <c r="J23" s="390"/>
      <c r="K23" s="304"/>
      <c r="O23" s="12"/>
      <c r="P23" s="14"/>
    </row>
    <row r="24" spans="1:16" x14ac:dyDescent="0.3">
      <c r="A24" s="305"/>
      <c r="B24" s="383" t="s">
        <v>12</v>
      </c>
      <c r="C24" s="384">
        <f>GETPIVOTDATA("Sum of wiacurrent",'Area Pivot Tables'!$A$37,"REGIONID",A1)</f>
        <v>2149</v>
      </c>
      <c r="D24" s="410">
        <f>GETPIVOTDATA("Sum of wia1yearago",'Area Pivot Tables'!$A$37,"REGIONID",A1)</f>
        <v>2193</v>
      </c>
      <c r="E24" s="386"/>
      <c r="F24" s="379" t="s">
        <v>6</v>
      </c>
      <c r="G24" s="380">
        <f>VLOOKUP('Area Data'!A1,'Common Measures'!$A$19:$AK$31,30,)</f>
        <v>86</v>
      </c>
      <c r="H24" s="380">
        <f>VLOOKUP('Area Data'!A1,'Common Measures'!$A$19:$AK$31,31,)</f>
        <v>222</v>
      </c>
      <c r="I24" s="382">
        <f>VLOOKUP('Area Data'!A1,'Common Measures'!$A$19:$AK$31,32,)</f>
        <v>0.38738738738738737</v>
      </c>
      <c r="J24" s="382">
        <f>VLOOKUP('Area Data'!A1,'Common Measures'!$A$19:$AK$31,33,)</f>
        <v>0.40200000000000002</v>
      </c>
      <c r="K24" s="304"/>
    </row>
    <row r="25" spans="1:16" x14ac:dyDescent="0.3">
      <c r="A25" s="151"/>
      <c r="B25" s="391" t="s">
        <v>14</v>
      </c>
      <c r="C25" s="376">
        <f>GETPIVOTDATA("Sum of wianewcurrent",'Area Pivot Tables'!$A$37,"REGIONID",A1)</f>
        <v>387</v>
      </c>
      <c r="D25" s="409">
        <f>GETPIVOTDATA("Sum of wianew1yearago",'Area Pivot Tables'!$A$37,"REGIONID",A1)</f>
        <v>413</v>
      </c>
      <c r="E25" s="386"/>
      <c r="F25" s="387"/>
      <c r="G25" s="388"/>
      <c r="H25" s="388"/>
      <c r="I25" s="390"/>
      <c r="J25" s="390"/>
      <c r="K25" s="304"/>
      <c r="O25" s="12"/>
      <c r="P25" s="14"/>
    </row>
    <row r="26" spans="1:16" s="1" customFormat="1" x14ac:dyDescent="0.3">
      <c r="A26" s="151"/>
      <c r="B26" s="411" t="s">
        <v>15</v>
      </c>
      <c r="C26" s="384">
        <f>GETPIVOTDATA("Sum of wiaexitcurrent",'Area Pivot Tables'!$A$37,"REGIONID",A1)</f>
        <v>357</v>
      </c>
      <c r="D26" s="410">
        <f>GETPIVOTDATA("Sum of wiaexit1yearago",'Area Pivot Tables'!$A$37,"REGIONID",A1)</f>
        <v>635</v>
      </c>
      <c r="E26" s="386"/>
      <c r="F26" s="379" t="s">
        <v>7</v>
      </c>
      <c r="G26" s="380">
        <f>VLOOKUP('Area Data'!A1,'Common Measures'!$A$19:$AK$31,34,)</f>
        <v>185</v>
      </c>
      <c r="H26" s="380">
        <f>VLOOKUP('Area Data'!A1,'Common Measures'!$A$19:$AK$31,35,)</f>
        <v>252</v>
      </c>
      <c r="I26" s="382">
        <f>VLOOKUP('Area Data'!A1,'Common Measures'!$A$19:$AK$31,36,)</f>
        <v>0.73412698412698407</v>
      </c>
      <c r="J26" s="382">
        <f>VLOOKUP('Area Data'!A1,'Common Measures'!$A$19:$AK$31,37,)</f>
        <v>0.55000000000000004</v>
      </c>
      <c r="K26" s="304"/>
      <c r="O26" s="13"/>
      <c r="P26" s="13"/>
    </row>
    <row r="27" spans="1:16" x14ac:dyDescent="0.3">
      <c r="A27" s="151"/>
      <c r="B27" s="374" t="s">
        <v>78</v>
      </c>
      <c r="C27" s="544" t="s">
        <v>665</v>
      </c>
      <c r="D27" s="543" t="s">
        <v>85</v>
      </c>
      <c r="E27" s="386"/>
      <c r="F27" s="393" t="s">
        <v>30</v>
      </c>
      <c r="G27" s="397" t="str">
        <f>VLOOKUP($F$1,Lists!$A$16:$H$44,5,)</f>
        <v>PY10 Q2</v>
      </c>
      <c r="H27" s="397" t="str">
        <f>VLOOKUP($F$1,Lists!$A$16:$H$44,6,)</f>
        <v>PY10 Q3</v>
      </c>
      <c r="I27" s="397" t="str">
        <f>VLOOKUP($F$1,Lists!$A$16:$H$44,7,)</f>
        <v>PY10 Q4</v>
      </c>
      <c r="J27" s="397" t="str">
        <f>VLOOKUP($F$1,Lists!$A$16:$H$44,8,)</f>
        <v>PY11 Q1</v>
      </c>
      <c r="K27" s="304"/>
      <c r="O27" s="12"/>
      <c r="P27" s="14"/>
    </row>
    <row r="28" spans="1:16" x14ac:dyDescent="0.3">
      <c r="A28" s="151"/>
      <c r="B28" s="412" t="s">
        <v>9</v>
      </c>
      <c r="C28" s="376">
        <f>GETPIVOTDATA("Sum of 3CountWAJobOrders_SumOfJOB OPENINGS",'Area Pivot Tables'!$A$54,"REGIONID",A1)</f>
        <v>1138</v>
      </c>
      <c r="D28" s="409">
        <f>GETPIVOTDATA("Sum of 3CountOfWAJobOrders1YearAgo_SumOfJOB OPENINGS",'Area Pivot Tables'!$A$54,"REGIONID",A1)</f>
        <v>1023</v>
      </c>
      <c r="E28" s="386"/>
      <c r="F28" s="379" t="s">
        <v>290</v>
      </c>
      <c r="G28" s="414">
        <f>VLOOKUP($A$1,MiscData!$A$95:$I$107,4,)</f>
        <v>1002643.3333333334</v>
      </c>
      <c r="H28" s="414">
        <f>VLOOKUP($A$1,MiscData!$A$95:$I$107,5,)</f>
        <v>1005176.6666666666</v>
      </c>
      <c r="I28" s="414">
        <f>VLOOKUP($A$1,MiscData!$A$95:$I$107,6,)</f>
        <v>1012766.6666666666</v>
      </c>
      <c r="J28" s="414">
        <f>VLOOKUP($A$1,MiscData!$A$95:$I$107,7,)</f>
        <v>1019840</v>
      </c>
      <c r="K28" s="304"/>
      <c r="O28" s="12"/>
    </row>
    <row r="29" spans="1:16" x14ac:dyDescent="0.3">
      <c r="A29" s="151"/>
      <c r="B29" s="413" t="s">
        <v>16</v>
      </c>
      <c r="C29" s="384">
        <f>GETPIVOTDATA("Sum of 3CountOfEmployersServed_EMPLOYER_ID",'Area Pivot Tables'!$A$54,"REGIONID",A1)</f>
        <v>1286</v>
      </c>
      <c r="D29" s="410">
        <f>GETPIVOTDATA("Sum of 3CountOfEmployersServed1YearAgo_EMPLOYER_ID",'Area Pivot Tables'!$A$54,"REGIONID",A1)</f>
        <v>1481</v>
      </c>
      <c r="E29" s="386"/>
      <c r="F29" s="387" t="s">
        <v>163</v>
      </c>
      <c r="G29" s="415">
        <f>VLOOKUP($A$1,MiscData!$A$110:$I$122,4,)</f>
        <v>99956.666666666672</v>
      </c>
      <c r="H29" s="415">
        <f>VLOOKUP($A$1,MiscData!$A$110:$I$122,5,)</f>
        <v>95980</v>
      </c>
      <c r="I29" s="415">
        <f>VLOOKUP($A$1,MiscData!$A$110:$I$122,6,)</f>
        <v>90140</v>
      </c>
      <c r="J29" s="415">
        <f>VLOOKUP($A$1,MiscData!$A$110:$I$122,7,)</f>
        <v>89293.333333333328</v>
      </c>
      <c r="K29" s="304"/>
      <c r="O29" s="12"/>
      <c r="P29" s="12"/>
    </row>
    <row r="30" spans="1:16" x14ac:dyDescent="0.3">
      <c r="A30" s="151"/>
      <c r="B30" s="412" t="s">
        <v>558</v>
      </c>
      <c r="C30" s="376">
        <f>GETPIVOTDATA("Sum of alljos",'Area Pivot Tables'!$A$54,"REGIONID",A1)</f>
        <v>11440</v>
      </c>
      <c r="D30" s="409">
        <f>GETPIVOTDATA("Sum of previousjos",'Area Pivot Tables'!$A$54,"REGIONID",A1)</f>
        <v>8843</v>
      </c>
      <c r="E30" s="386"/>
      <c r="F30" s="379" t="s">
        <v>112</v>
      </c>
      <c r="G30" s="414">
        <f>VLOOKUP($A$1,MiscData!$A$80:$I$92,4,)</f>
        <v>1102600</v>
      </c>
      <c r="H30" s="414">
        <f>VLOOKUP($A$1,MiscData!$A$80:$I$92,5,)</f>
        <v>1101156.6666666667</v>
      </c>
      <c r="I30" s="414">
        <f>VLOOKUP($A$1,MiscData!$A$80:$I$92,6,)</f>
        <v>1102906.6666666667</v>
      </c>
      <c r="J30" s="414">
        <f>VLOOKUP($A$1,MiscData!$A$80:$I$92,7,)</f>
        <v>1109133.3333333333</v>
      </c>
      <c r="K30" s="304"/>
      <c r="N30" s="1"/>
      <c r="O30" s="12"/>
      <c r="P30" s="12"/>
    </row>
    <row r="31" spans="1:16" x14ac:dyDescent="0.3">
      <c r="A31" s="151"/>
      <c r="B31" s="374" t="s">
        <v>79</v>
      </c>
      <c r="C31" s="544" t="s">
        <v>665</v>
      </c>
      <c r="D31" s="543" t="s">
        <v>85</v>
      </c>
      <c r="E31" s="386"/>
      <c r="F31" s="387" t="s">
        <v>31</v>
      </c>
      <c r="G31" s="419">
        <f>G29/G30</f>
        <v>9.065542052119234E-2</v>
      </c>
      <c r="H31" s="419">
        <f>H29/H30</f>
        <v>8.7162892352586813E-2</v>
      </c>
      <c r="I31" s="419">
        <f>I29/I30</f>
        <v>8.1729490558282353E-2</v>
      </c>
      <c r="J31" s="419">
        <f>J29/J30</f>
        <v>8.0507302999338823E-2</v>
      </c>
      <c r="K31" s="304"/>
      <c r="O31" s="12"/>
      <c r="P31" s="12"/>
    </row>
    <row r="32" spans="1:16" x14ac:dyDescent="0.3">
      <c r="A32" s="151"/>
      <c r="B32" s="391" t="s">
        <v>562</v>
      </c>
      <c r="C32" s="416">
        <f>C36/C30</f>
        <v>0.40786713286713289</v>
      </c>
      <c r="D32" s="392">
        <f>D36/D30</f>
        <v>0.45233518036865317</v>
      </c>
      <c r="E32" s="386"/>
      <c r="F32" s="379" t="s">
        <v>563</v>
      </c>
      <c r="G32" s="422">
        <f>VLOOKUP($A$1,'Common Measures'!$A$97:$J$108,3,)</f>
        <v>0.41</v>
      </c>
      <c r="H32" s="422">
        <f>VLOOKUP($A$1,'Common Measures'!$A$97:$J$108,4,)</f>
        <v>0.42</v>
      </c>
      <c r="I32" s="422">
        <f>VLOOKUP($A$1,'Common Measures'!$A$97:$J$108,5,)</f>
        <v>0.43</v>
      </c>
      <c r="J32" s="422">
        <f>VLOOKUP($A$1,'Common Measures'!$A$97:$J$108,6,)</f>
        <v>0.44</v>
      </c>
      <c r="K32" s="304"/>
    </row>
    <row r="33" spans="1:11" ht="19.5" thickBot="1" x14ac:dyDescent="0.35">
      <c r="A33" s="151"/>
      <c r="B33" s="413" t="s">
        <v>617</v>
      </c>
      <c r="C33" s="417">
        <f>C37/C28</f>
        <v>0.10896309314586995</v>
      </c>
      <c r="D33" s="418">
        <f>D37/D28</f>
        <v>0.16031280547409579</v>
      </c>
      <c r="E33" s="386"/>
      <c r="F33" s="562" t="s">
        <v>248</v>
      </c>
      <c r="G33" s="562"/>
      <c r="H33" s="562" t="s">
        <v>576</v>
      </c>
      <c r="I33" s="562"/>
      <c r="J33" s="562"/>
      <c r="K33" s="304"/>
    </row>
    <row r="34" spans="1:11" x14ac:dyDescent="0.3">
      <c r="A34" s="151"/>
      <c r="B34" s="412" t="s">
        <v>574</v>
      </c>
      <c r="C34" s="420">
        <f>GETPIVOTDATA("Sum of CurrentJOs",'Area Pivot Tables'!$A$72,"REGIONID",A1)</f>
        <v>12.578514619883043</v>
      </c>
      <c r="D34" s="421">
        <f>GETPIVOTDATA("Sum of LastYears",'Area Pivot Tables'!$A$72,"REGIONID",A1)</f>
        <v>12.958377088305493</v>
      </c>
      <c r="E34" s="386"/>
      <c r="F34" s="479" t="s">
        <v>36</v>
      </c>
      <c r="G34" s="425">
        <f ca="1">VLOOKUP(A1,MiscData!E148:I159,5,)</f>
        <v>31641.379648084148</v>
      </c>
      <c r="H34" s="492">
        <v>1</v>
      </c>
      <c r="I34" s="563" t="str">
        <f>VLOOKUP($A$1,MiscData!$A$190:$O$202,7,)</f>
        <v xml:space="preserve">Professional, Scientific, and Technical Services </v>
      </c>
      <c r="J34" s="564"/>
      <c r="K34" s="304"/>
    </row>
    <row r="35" spans="1:11" x14ac:dyDescent="0.3">
      <c r="A35" s="151"/>
      <c r="B35" s="413" t="s">
        <v>243</v>
      </c>
      <c r="C35" s="423">
        <f>GETPIVOTDATA("Sum of CurrentSalary",'Area Pivot Tables'!$A$72,"REGIONID",A1)</f>
        <v>11.35</v>
      </c>
      <c r="D35" s="424">
        <f>GETPIVOTDATA("Sum of Lastyearsalary",'Area Pivot Tables'!$A$72,"REGIONID",A1)</f>
        <v>11.33</v>
      </c>
      <c r="E35" s="386"/>
      <c r="F35" s="480" t="s">
        <v>317</v>
      </c>
      <c r="G35" s="484">
        <f ca="1">VLOOKUP(A1,MiscData!E148:J160,6)</f>
        <v>32.959770466754321</v>
      </c>
      <c r="H35" s="493">
        <v>2</v>
      </c>
      <c r="I35" s="556" t="str">
        <f>VLOOKUP($A$1,MiscData!$A$190:$O$202,8,)</f>
        <v xml:space="preserve">Food Services and Drinking Places </v>
      </c>
      <c r="J35" s="557"/>
      <c r="K35" s="304"/>
    </row>
    <row r="36" spans="1:11" x14ac:dyDescent="0.3">
      <c r="A36" s="151"/>
      <c r="B36" s="391" t="s">
        <v>561</v>
      </c>
      <c r="C36" s="376">
        <f>GETPIVOTDATA("Sum of NAICSCurrent",'Area Pivot Tables'!$A$72,"REGIONID",A1)</f>
        <v>4666</v>
      </c>
      <c r="D36" s="409">
        <f>GETPIVOTDATA("Sum of NAICSPREVIOUS",'Area Pivot Tables'!$A$72,"REGIONID",A1)</f>
        <v>4000</v>
      </c>
      <c r="E36" s="386"/>
      <c r="F36" s="426" t="s">
        <v>323</v>
      </c>
      <c r="G36" s="473">
        <f>VLOOKUP(B1,MiscData!A61:G73,7,)</f>
        <v>0.11</v>
      </c>
      <c r="H36" s="494">
        <v>3</v>
      </c>
      <c r="I36" s="558" t="str">
        <f>VLOOKUP($A$1,MiscData!$A$190:$O$202,9,)</f>
        <v xml:space="preserve">Administrative and Support Services </v>
      </c>
      <c r="J36" s="559"/>
      <c r="K36" s="304"/>
    </row>
    <row r="37" spans="1:11" x14ac:dyDescent="0.3">
      <c r="A37" s="151"/>
      <c r="B37" s="413" t="s">
        <v>46</v>
      </c>
      <c r="C37" s="384">
        <f>GETPIVOTDATA("Sum of current",'Area Pivot Tables'!$A$72,"REGIONID",A1)</f>
        <v>124</v>
      </c>
      <c r="D37" s="410">
        <f>GETPIVOTDATA("Sum of Lastyear",'Area Pivot Tables'!$A$72,"REGIONID",A1)</f>
        <v>164</v>
      </c>
      <c r="E37" s="386"/>
      <c r="F37" s="428" t="s">
        <v>606</v>
      </c>
      <c r="G37" s="485">
        <f>VLOOKUP($A$1,MiscData!$A$3:$N$14,13,)</f>
        <v>0.91833881737560608</v>
      </c>
      <c r="H37" s="495">
        <v>4</v>
      </c>
      <c r="I37" s="556" t="str">
        <f>VLOOKUP($A$1,MiscData!$A$190:$O$202,10,)</f>
        <v xml:space="preserve">Private Households </v>
      </c>
      <c r="J37" s="557"/>
      <c r="K37" s="304"/>
    </row>
    <row r="38" spans="1:11" ht="19.5" thickBot="1" x14ac:dyDescent="0.35">
      <c r="A38" s="151"/>
      <c r="B38" s="560" t="s">
        <v>80</v>
      </c>
      <c r="C38" s="560"/>
      <c r="D38" s="560"/>
      <c r="E38" s="386"/>
      <c r="F38" s="478" t="s">
        <v>607</v>
      </c>
      <c r="G38" s="486">
        <f>VLOOKUP($A$1,MiscData!$A$3:$N$14,14,)</f>
        <v>0.44819219478700956</v>
      </c>
      <c r="H38" s="496">
        <v>5</v>
      </c>
      <c r="I38" s="573" t="str">
        <f>VLOOKUP($A$1,MiscData!$A$190:$O$202,11,)</f>
        <v xml:space="preserve">Ambulatory Health Care Services </v>
      </c>
      <c r="J38" s="574"/>
      <c r="K38" s="304"/>
    </row>
    <row r="39" spans="1:11" x14ac:dyDescent="0.3">
      <c r="A39" s="151"/>
      <c r="B39" s="379" t="s">
        <v>256</v>
      </c>
      <c r="C39" s="398">
        <f>GETPIVOTDATA("Sum of CountNew",'Area Pivot Tables'!$A$89,"REGIONID",A1)</f>
        <v>15184</v>
      </c>
      <c r="D39" s="427"/>
      <c r="E39" s="386"/>
      <c r="F39" s="428" t="s">
        <v>244</v>
      </c>
      <c r="G39" s="569" t="str">
        <f>VLOOKUP(A1,MiscData!A190:O201,15,)</f>
        <v xml:space="preserve">Professional, Scientific, and Technical Services </v>
      </c>
      <c r="H39" s="569"/>
      <c r="I39" s="569"/>
      <c r="J39" s="570"/>
      <c r="K39" s="304"/>
    </row>
    <row r="40" spans="1:11" ht="19.5" thickBot="1" x14ac:dyDescent="0.35">
      <c r="A40" s="151"/>
      <c r="B40" s="383" t="s">
        <v>34</v>
      </c>
      <c r="C40" s="429">
        <f>C43/C5</f>
        <v>1.8133280601146926</v>
      </c>
      <c r="D40" s="430"/>
      <c r="E40" s="386"/>
      <c r="F40" s="431" t="s">
        <v>245</v>
      </c>
      <c r="G40" s="571" t="str">
        <f>VLOOKUP(A1,MiscData!A190:P201,13,)</f>
        <v xml:space="preserve">Amusement, Gambling, and Recreation Industries </v>
      </c>
      <c r="H40" s="571"/>
      <c r="I40" s="571"/>
      <c r="J40" s="572"/>
      <c r="K40" s="304"/>
    </row>
    <row r="41" spans="1:11" x14ac:dyDescent="0.3">
      <c r="A41" s="151"/>
      <c r="B41" s="432" t="s">
        <v>35</v>
      </c>
      <c r="C41" s="433">
        <f>C45/C44</f>
        <v>0.85813349504963543</v>
      </c>
      <c r="D41" s="427"/>
      <c r="E41" s="386"/>
      <c r="F41" s="481"/>
      <c r="G41" s="565"/>
      <c r="H41" s="565"/>
      <c r="I41" s="565"/>
      <c r="J41" s="566"/>
      <c r="K41" s="304"/>
    </row>
    <row r="42" spans="1:11" x14ac:dyDescent="0.3">
      <c r="A42" s="151"/>
      <c r="B42" s="434" t="s">
        <v>27</v>
      </c>
      <c r="C42" s="435">
        <f>GETPIVOTDATA("Sum of AvgOfDuration",'Area Pivot Tables'!$A$89,"REGIONID",A1)</f>
        <v>15.134812286689419</v>
      </c>
      <c r="D42" s="436"/>
      <c r="E42" s="386"/>
      <c r="F42" s="474"/>
      <c r="G42" s="567"/>
      <c r="H42" s="567"/>
      <c r="I42" s="567"/>
      <c r="J42" s="568"/>
      <c r="K42" s="304"/>
    </row>
    <row r="43" spans="1:11" ht="19.5" thickBot="1" x14ac:dyDescent="0.35">
      <c r="A43" s="151"/>
      <c r="B43" s="432" t="s">
        <v>54</v>
      </c>
      <c r="C43" s="437">
        <f>GETPIVOTDATA("Sum of SERVICEDATE",'Area Pivot Tables'!$A$89,"REGIONID",A1)</f>
        <v>36680</v>
      </c>
      <c r="D43" s="427"/>
      <c r="E43" s="386"/>
      <c r="F43" s="475"/>
      <c r="G43" s="477"/>
      <c r="H43" s="477"/>
      <c r="I43" s="477"/>
      <c r="J43" s="476"/>
      <c r="K43" s="304"/>
    </row>
    <row r="44" spans="1:11" x14ac:dyDescent="0.3">
      <c r="A44" s="151"/>
      <c r="B44" s="383" t="s">
        <v>47</v>
      </c>
      <c r="C44" s="438">
        <f>GETPIVOTDATA("Sum of OldWages",'Area Pivot Tables'!$A$89,"REGIONID",A1)</f>
        <v>758.53</v>
      </c>
      <c r="D44" s="430"/>
      <c r="E44" s="386"/>
      <c r="F44" s="474"/>
      <c r="G44" s="567"/>
      <c r="H44" s="567"/>
      <c r="I44" s="567"/>
      <c r="J44" s="568"/>
      <c r="K44" s="304"/>
    </row>
    <row r="45" spans="1:11" ht="19.5" thickBot="1" x14ac:dyDescent="0.35">
      <c r="A45" s="151"/>
      <c r="B45" s="432" t="s">
        <v>48</v>
      </c>
      <c r="C45" s="439">
        <f>GETPIVOTDATA("Sum of NewWages",'Area Pivot Tables'!$A$89,"REGIONID",A1)</f>
        <v>650.91999999999996</v>
      </c>
      <c r="D45" s="427"/>
      <c r="E45" s="386"/>
      <c r="F45" s="475"/>
      <c r="G45" s="477"/>
      <c r="H45" s="477"/>
      <c r="I45" s="477"/>
      <c r="J45" s="476"/>
      <c r="K45" s="304"/>
    </row>
    <row r="46" spans="1:11" x14ac:dyDescent="0.3">
      <c r="A46" s="295"/>
      <c r="B46" s="295"/>
      <c r="C46" s="295"/>
      <c r="D46" s="295"/>
      <c r="E46" s="295"/>
      <c r="F46" s="295"/>
      <c r="G46" s="295"/>
      <c r="H46" s="295"/>
      <c r="I46" s="295"/>
      <c r="J46" s="295"/>
      <c r="K46" s="295"/>
    </row>
    <row r="47" spans="1:11" x14ac:dyDescent="0.3">
      <c r="A47" s="2"/>
      <c r="B47" s="80"/>
      <c r="C47" s="79"/>
      <c r="D47" s="95"/>
      <c r="E47" s="80"/>
      <c r="F47" s="78"/>
      <c r="G47" s="78"/>
      <c r="H47" s="78"/>
      <c r="I47" s="37"/>
      <c r="J47" s="37"/>
      <c r="K47" s="2"/>
    </row>
    <row r="48" spans="1:11" x14ac:dyDescent="0.3">
      <c r="A48" s="2"/>
      <c r="B48" s="80"/>
      <c r="C48" s="79"/>
      <c r="D48" s="95"/>
      <c r="E48" s="80"/>
      <c r="F48" s="78"/>
      <c r="G48" s="78"/>
      <c r="H48" s="78"/>
      <c r="I48" s="37"/>
      <c r="J48" s="37"/>
      <c r="K48" s="2"/>
    </row>
    <row r="49" spans="1:11" x14ac:dyDescent="0.3">
      <c r="A49" s="2"/>
      <c r="B49" s="80"/>
      <c r="C49" s="79"/>
      <c r="D49" s="95"/>
      <c r="E49" s="80"/>
      <c r="F49" s="78"/>
      <c r="G49" s="78"/>
      <c r="H49" s="78"/>
      <c r="I49" s="37"/>
      <c r="J49" s="37"/>
      <c r="K49" s="2"/>
    </row>
    <row r="50" spans="1:11" x14ac:dyDescent="0.3">
      <c r="A50" s="2"/>
      <c r="B50" s="80"/>
      <c r="C50" s="79"/>
      <c r="D50" s="95"/>
      <c r="E50" s="80"/>
      <c r="F50" s="78"/>
      <c r="G50" s="78"/>
      <c r="H50" s="78"/>
      <c r="I50" s="37"/>
      <c r="J50" s="37"/>
      <c r="K50" s="2"/>
    </row>
    <row r="51" spans="1:11" x14ac:dyDescent="0.3">
      <c r="A51" s="2"/>
      <c r="B51" s="80"/>
      <c r="C51" s="81"/>
      <c r="D51" s="81"/>
      <c r="E51" s="80"/>
      <c r="F51" s="78"/>
      <c r="G51" s="78"/>
      <c r="H51" s="78"/>
      <c r="I51" s="37"/>
      <c r="J51" s="37"/>
      <c r="K51" s="2"/>
    </row>
    <row r="52" spans="1:11" x14ac:dyDescent="0.3">
      <c r="A52" s="2"/>
      <c r="B52" s="80"/>
      <c r="C52" s="81"/>
      <c r="D52" s="81"/>
      <c r="E52" s="80"/>
      <c r="F52" s="78"/>
      <c r="G52" s="78"/>
      <c r="H52" s="78"/>
      <c r="I52" s="37"/>
      <c r="J52" s="37"/>
      <c r="K52" s="2"/>
    </row>
    <row r="53" spans="1:11" x14ac:dyDescent="0.3">
      <c r="A53" s="2"/>
      <c r="B53" s="80"/>
      <c r="C53" s="81"/>
      <c r="D53" s="81"/>
      <c r="E53" s="4"/>
      <c r="F53" s="78"/>
      <c r="G53" s="78"/>
      <c r="H53" s="78"/>
      <c r="I53" s="37"/>
      <c r="J53" s="37"/>
      <c r="K53" s="2"/>
    </row>
    <row r="54" spans="1:11" x14ac:dyDescent="0.3">
      <c r="A54" s="2"/>
      <c r="B54" s="80"/>
      <c r="C54" s="81"/>
      <c r="D54" s="81"/>
      <c r="E54" s="4"/>
      <c r="F54" s="78"/>
      <c r="G54" s="78"/>
      <c r="H54" s="78"/>
      <c r="I54" s="37"/>
      <c r="J54" s="37"/>
      <c r="K54" s="2"/>
    </row>
    <row r="55" spans="1:11" x14ac:dyDescent="0.3">
      <c r="A55" s="2"/>
      <c r="B55" s="80"/>
      <c r="C55" s="81"/>
      <c r="D55" s="81"/>
      <c r="E55" s="4"/>
      <c r="F55" s="78"/>
      <c r="G55" s="78"/>
      <c r="H55" s="78"/>
      <c r="I55" s="37"/>
      <c r="J55" s="37"/>
      <c r="K55" s="2"/>
    </row>
    <row r="56" spans="1:11" x14ac:dyDescent="0.3">
      <c r="A56" s="2"/>
      <c r="B56" s="80"/>
      <c r="C56" s="81"/>
      <c r="D56" s="81"/>
      <c r="E56" s="4"/>
      <c r="F56" s="78"/>
      <c r="G56" s="78"/>
      <c r="H56" s="78"/>
      <c r="I56" s="37"/>
      <c r="J56" s="37"/>
      <c r="K56" s="2"/>
    </row>
    <row r="57" spans="1:11" x14ac:dyDescent="0.3">
      <c r="A57" s="2"/>
      <c r="B57" s="80"/>
      <c r="C57" s="81"/>
      <c r="D57" s="81"/>
      <c r="E57" s="4"/>
      <c r="F57" s="78"/>
      <c r="G57" s="78"/>
      <c r="H57" s="78"/>
      <c r="I57" s="37"/>
      <c r="J57" s="37"/>
      <c r="K57" s="2"/>
    </row>
    <row r="58" spans="1:11" x14ac:dyDescent="0.3">
      <c r="A58" s="2"/>
      <c r="B58" s="80"/>
      <c r="C58" s="81"/>
      <c r="D58" s="81"/>
      <c r="E58" s="4"/>
      <c r="F58" s="78"/>
      <c r="G58" s="78"/>
      <c r="H58" s="78"/>
      <c r="I58" s="37"/>
      <c r="J58" s="37"/>
      <c r="K58" s="2"/>
    </row>
    <row r="59" spans="1:11" x14ac:dyDescent="0.3">
      <c r="A59" s="2"/>
      <c r="B59" s="80"/>
      <c r="C59" s="81"/>
      <c r="D59" s="81"/>
      <c r="E59" s="4"/>
      <c r="F59" s="78"/>
      <c r="G59" s="78"/>
      <c r="H59" s="78"/>
      <c r="I59" s="37"/>
      <c r="J59" s="37"/>
      <c r="K59" s="2"/>
    </row>
    <row r="60" spans="1:11" x14ac:dyDescent="0.3">
      <c r="A60" s="2"/>
      <c r="B60" s="4"/>
      <c r="C60" s="96"/>
      <c r="D60" s="96"/>
      <c r="E60" s="4"/>
      <c r="F60" s="78"/>
      <c r="G60" s="78"/>
      <c r="H60" s="78"/>
      <c r="I60" s="37"/>
      <c r="J60" s="37"/>
      <c r="K60" s="2"/>
    </row>
    <row r="61" spans="1:11" x14ac:dyDescent="0.3">
      <c r="A61" s="2"/>
      <c r="B61" s="4"/>
      <c r="C61" s="96"/>
      <c r="D61" s="96"/>
      <c r="E61" s="4"/>
      <c r="F61" s="78"/>
      <c r="G61" s="78"/>
      <c r="H61" s="78"/>
      <c r="I61" s="37"/>
      <c r="J61" s="37"/>
      <c r="K61" s="2"/>
    </row>
    <row r="62" spans="1:11" x14ac:dyDescent="0.3">
      <c r="A62" s="2"/>
      <c r="B62" s="4"/>
      <c r="C62" s="96"/>
      <c r="D62" s="96"/>
      <c r="E62" s="4"/>
      <c r="F62" s="78"/>
      <c r="G62" s="78"/>
      <c r="H62" s="78"/>
      <c r="I62" s="37"/>
      <c r="J62" s="37"/>
      <c r="K62" s="2"/>
    </row>
    <row r="63" spans="1:11" x14ac:dyDescent="0.3">
      <c r="A63" s="2"/>
      <c r="B63" s="4"/>
      <c r="C63" s="96"/>
      <c r="D63" s="96"/>
      <c r="E63" s="4"/>
      <c r="F63" s="78"/>
      <c r="G63" s="78"/>
      <c r="H63" s="78"/>
      <c r="I63" s="37"/>
      <c r="J63" s="37"/>
      <c r="K63" s="2"/>
    </row>
    <row r="64" spans="1:11" x14ac:dyDescent="0.3">
      <c r="A64" s="2"/>
      <c r="B64" s="4"/>
      <c r="C64" s="96"/>
      <c r="D64" s="96"/>
      <c r="E64" s="4"/>
      <c r="F64" s="78"/>
      <c r="G64" s="78"/>
      <c r="H64" s="78"/>
      <c r="I64" s="37"/>
      <c r="J64" s="37"/>
      <c r="K64" s="2"/>
    </row>
    <row r="65" spans="1:11" x14ac:dyDescent="0.3">
      <c r="A65" s="2"/>
      <c r="B65" s="4"/>
      <c r="C65" s="96"/>
      <c r="D65" s="96"/>
      <c r="E65" s="4"/>
      <c r="F65" s="78"/>
      <c r="K65" s="2"/>
    </row>
    <row r="66" spans="1:11" x14ac:dyDescent="0.3">
      <c r="A66" s="2"/>
      <c r="B66" s="4"/>
      <c r="C66" s="96"/>
      <c r="D66" s="96"/>
      <c r="E66" s="4"/>
      <c r="K66" s="2"/>
    </row>
    <row r="67" spans="1:11" x14ac:dyDescent="0.3">
      <c r="A67" s="2"/>
      <c r="B67" s="4"/>
      <c r="C67" s="96"/>
      <c r="D67" s="96"/>
      <c r="E67" s="4"/>
      <c r="K67" s="2"/>
    </row>
    <row r="68" spans="1:11" x14ac:dyDescent="0.3">
      <c r="A68" s="2"/>
      <c r="B68" s="4"/>
      <c r="C68" s="96"/>
      <c r="D68" s="96"/>
      <c r="E68" s="4"/>
      <c r="K68" s="2"/>
    </row>
    <row r="69" spans="1:11" x14ac:dyDescent="0.3">
      <c r="A69" s="2"/>
      <c r="B69" s="4"/>
      <c r="C69" s="96"/>
      <c r="D69" s="96"/>
      <c r="E69" s="4"/>
      <c r="K69" s="2"/>
    </row>
    <row r="70" spans="1:11" x14ac:dyDescent="0.3">
      <c r="A70" s="2"/>
      <c r="B70" s="4"/>
      <c r="C70" s="96"/>
      <c r="D70" s="96"/>
      <c r="E70" s="4"/>
    </row>
    <row r="71" spans="1:11" x14ac:dyDescent="0.3">
      <c r="A71" s="2"/>
      <c r="B71" s="4"/>
      <c r="C71" s="96"/>
      <c r="D71" s="96"/>
      <c r="E71" s="4"/>
    </row>
    <row r="72" spans="1:11" x14ac:dyDescent="0.3">
      <c r="A72" s="2"/>
      <c r="B72" s="4"/>
      <c r="C72" s="96"/>
      <c r="D72" s="96"/>
      <c r="E72" s="4"/>
    </row>
    <row r="73" spans="1:11" x14ac:dyDescent="0.3">
      <c r="B73" s="4"/>
      <c r="C73" s="96"/>
      <c r="D73" s="96"/>
    </row>
    <row r="74" spans="1:11" x14ac:dyDescent="0.3">
      <c r="B74" s="4"/>
      <c r="C74" s="96"/>
      <c r="D74" s="96"/>
    </row>
    <row r="75" spans="1:11" x14ac:dyDescent="0.3">
      <c r="B75" s="4"/>
      <c r="C75" s="96"/>
      <c r="D75" s="96"/>
    </row>
  </sheetData>
  <sheetProtection sheet="1" objects="1" scenarios="1"/>
  <mergeCells count="15">
    <mergeCell ref="G41:J41"/>
    <mergeCell ref="G44:J44"/>
    <mergeCell ref="G39:J39"/>
    <mergeCell ref="G40:J40"/>
    <mergeCell ref="I37:J37"/>
    <mergeCell ref="I38:J38"/>
    <mergeCell ref="G42:J42"/>
    <mergeCell ref="I35:J35"/>
    <mergeCell ref="I36:J36"/>
    <mergeCell ref="B38:D38"/>
    <mergeCell ref="F2:K2"/>
    <mergeCell ref="B2:D2"/>
    <mergeCell ref="F33:G33"/>
    <mergeCell ref="H33:J33"/>
    <mergeCell ref="I34:J34"/>
  </mergeCells>
  <dataValidations count="2">
    <dataValidation type="list" allowBlank="1" showInputMessage="1" showErrorMessage="1" sqref="B1">
      <formula1>Area</formula1>
    </dataValidation>
    <dataValidation type="list" allowBlank="1" showInputMessage="1" showErrorMessage="1" sqref="F1">
      <formula1>qUARTERS</formula1>
    </dataValidation>
  </dataValidations>
  <pageMargins left="0.95" right="0.25" top="0.43" bottom="0.23" header="0.3" footer="0.16"/>
  <pageSetup scale="67"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V202"/>
  <sheetViews>
    <sheetView topLeftCell="A124" workbookViewId="0">
      <selection activeCell="C138" sqref="C138"/>
    </sheetView>
  </sheetViews>
  <sheetFormatPr defaultColWidth="8.796875" defaultRowHeight="18.75" x14ac:dyDescent="0.3"/>
  <cols>
    <col min="1" max="1" width="18" style="193" customWidth="1"/>
    <col min="2" max="3" width="8.796875" style="193"/>
    <col min="4" max="4" width="13.3984375" style="193" customWidth="1"/>
    <col min="5" max="5" width="12" style="193" customWidth="1"/>
    <col min="6" max="6" width="15.09765625" style="193" customWidth="1"/>
    <col min="7" max="7" width="20.3984375" style="193" customWidth="1"/>
    <col min="8" max="8" width="14.3984375" style="193" customWidth="1"/>
    <col min="9" max="9" width="15.59765625" style="193" customWidth="1"/>
    <col min="10" max="10" width="12.796875" style="193" customWidth="1"/>
    <col min="11" max="11" width="16" style="193" customWidth="1"/>
    <col min="12" max="12" width="13.8984375" style="193" customWidth="1"/>
    <col min="13" max="13" width="16.796875" style="193" customWidth="1"/>
    <col min="14" max="16384" width="8.796875" style="193"/>
  </cols>
  <sheetData>
    <row r="1" spans="1:14" x14ac:dyDescent="0.3">
      <c r="A1" s="645" t="s">
        <v>625</v>
      </c>
      <c r="B1" s="645"/>
      <c r="C1" s="645"/>
      <c r="D1" s="645"/>
      <c r="E1" s="645"/>
      <c r="F1" s="645"/>
      <c r="G1" s="645"/>
      <c r="H1" s="645"/>
      <c r="I1" s="645"/>
      <c r="J1" s="645"/>
      <c r="K1" s="645"/>
      <c r="L1" s="645"/>
    </row>
    <row r="2" spans="1:14" ht="30.75" x14ac:dyDescent="0.3">
      <c r="A2" s="258"/>
      <c r="B2" s="108" t="s">
        <v>134</v>
      </c>
      <c r="C2" s="108" t="s">
        <v>133</v>
      </c>
      <c r="D2" s="108" t="s">
        <v>132</v>
      </c>
      <c r="E2" s="108" t="s">
        <v>131</v>
      </c>
      <c r="F2" s="108" t="s">
        <v>130</v>
      </c>
      <c r="G2" s="108" t="s">
        <v>129</v>
      </c>
      <c r="H2" s="108" t="s">
        <v>128</v>
      </c>
      <c r="I2" s="108" t="s">
        <v>127</v>
      </c>
      <c r="J2" s="258" t="s">
        <v>236</v>
      </c>
      <c r="K2" s="108" t="s">
        <v>126</v>
      </c>
      <c r="L2" s="258" t="s">
        <v>19</v>
      </c>
      <c r="M2" s="483" t="s">
        <v>645</v>
      </c>
      <c r="N2" s="482" t="s">
        <v>646</v>
      </c>
    </row>
    <row r="3" spans="1:14" x14ac:dyDescent="0.3">
      <c r="A3" s="258">
        <v>1</v>
      </c>
      <c r="B3" s="107">
        <v>232378</v>
      </c>
      <c r="C3" s="107">
        <v>4667</v>
      </c>
      <c r="D3" s="107">
        <v>13824</v>
      </c>
      <c r="E3" s="107">
        <v>59419</v>
      </c>
      <c r="F3" s="107">
        <v>65870</v>
      </c>
      <c r="G3" s="107">
        <v>24000</v>
      </c>
      <c r="H3" s="107">
        <v>39843</v>
      </c>
      <c r="I3" s="107">
        <v>24755</v>
      </c>
      <c r="J3" s="107">
        <f>SUM(E3:I3)</f>
        <v>213887</v>
      </c>
      <c r="K3" s="107">
        <f t="shared" ref="K3:K14" si="0">H3+I3</f>
        <v>64598</v>
      </c>
      <c r="L3" s="158">
        <v>2.3E-2</v>
      </c>
      <c r="M3" s="14">
        <f>J3/B3</f>
        <v>0.92042706280284714</v>
      </c>
      <c r="N3" s="14">
        <f>K3/B3</f>
        <v>0.27798672851991152</v>
      </c>
    </row>
    <row r="4" spans="1:14" x14ac:dyDescent="0.3">
      <c r="A4" s="258">
        <v>2</v>
      </c>
      <c r="B4" s="107">
        <v>316438</v>
      </c>
      <c r="C4" s="107">
        <v>9789</v>
      </c>
      <c r="D4" s="107">
        <v>25435</v>
      </c>
      <c r="E4" s="107">
        <v>92255</v>
      </c>
      <c r="F4" s="107">
        <v>84342</v>
      </c>
      <c r="G4" s="107">
        <v>29097</v>
      </c>
      <c r="H4" s="107">
        <v>47478</v>
      </c>
      <c r="I4" s="107">
        <v>28042</v>
      </c>
      <c r="J4" s="107">
        <f t="shared" ref="J4:J14" si="1">SUM(E4:I4)</f>
        <v>281214</v>
      </c>
      <c r="K4" s="107">
        <f t="shared" si="0"/>
        <v>75520</v>
      </c>
      <c r="L4" s="158">
        <v>3.7999999999999999E-2</v>
      </c>
      <c r="M4" s="14">
        <f t="shared" ref="M4:M14" si="2">J4/B4</f>
        <v>0.88868593531750295</v>
      </c>
      <c r="N4" s="14">
        <f t="shared" ref="N4:N14" si="3">K4/B4</f>
        <v>0.2386565456740341</v>
      </c>
    </row>
    <row r="5" spans="1:14" x14ac:dyDescent="0.3">
      <c r="A5" s="258">
        <v>3</v>
      </c>
      <c r="B5" s="107">
        <v>263025</v>
      </c>
      <c r="C5" s="107">
        <v>9298</v>
      </c>
      <c r="D5" s="107">
        <v>16470</v>
      </c>
      <c r="E5" s="107">
        <v>66642</v>
      </c>
      <c r="F5" s="107">
        <v>68631</v>
      </c>
      <c r="G5" s="107">
        <v>25824</v>
      </c>
      <c r="H5" s="107">
        <v>48659</v>
      </c>
      <c r="I5" s="107">
        <v>27501</v>
      </c>
      <c r="J5" s="107">
        <f t="shared" si="1"/>
        <v>237257</v>
      </c>
      <c r="K5" s="107">
        <f t="shared" si="0"/>
        <v>76160</v>
      </c>
      <c r="L5" s="158">
        <v>3.9E-2</v>
      </c>
      <c r="M5" s="14">
        <f t="shared" si="2"/>
        <v>0.90203212622374296</v>
      </c>
      <c r="N5" s="14">
        <f t="shared" si="3"/>
        <v>0.28955422488356619</v>
      </c>
    </row>
    <row r="6" spans="1:14" x14ac:dyDescent="0.3">
      <c r="A6" s="258">
        <v>4</v>
      </c>
      <c r="B6" s="107">
        <v>444975</v>
      </c>
      <c r="C6" s="107">
        <v>12216</v>
      </c>
      <c r="D6" s="107">
        <v>29975</v>
      </c>
      <c r="E6" s="107">
        <v>115594</v>
      </c>
      <c r="F6" s="107">
        <v>117160</v>
      </c>
      <c r="G6" s="107">
        <v>45960</v>
      </c>
      <c r="H6" s="107">
        <v>87243</v>
      </c>
      <c r="I6" s="107">
        <v>36827</v>
      </c>
      <c r="J6" s="107">
        <f t="shared" si="1"/>
        <v>402784</v>
      </c>
      <c r="K6" s="107">
        <f t="shared" si="0"/>
        <v>124070</v>
      </c>
      <c r="L6" s="158">
        <v>4.4999999999999998E-2</v>
      </c>
      <c r="M6" s="14">
        <f t="shared" si="2"/>
        <v>0.90518343727175687</v>
      </c>
      <c r="N6" s="14">
        <f t="shared" si="3"/>
        <v>0.27882465307039722</v>
      </c>
    </row>
    <row r="7" spans="1:14" x14ac:dyDescent="0.3">
      <c r="A7" s="258">
        <v>5</v>
      </c>
      <c r="B7" s="107">
        <v>1296185</v>
      </c>
      <c r="C7" s="107">
        <v>43683</v>
      </c>
      <c r="D7" s="107">
        <v>62165</v>
      </c>
      <c r="E7" s="107">
        <v>234272</v>
      </c>
      <c r="F7" s="107">
        <v>270465</v>
      </c>
      <c r="G7" s="107">
        <v>104660</v>
      </c>
      <c r="H7" s="107">
        <v>372843</v>
      </c>
      <c r="I7" s="107">
        <v>208097</v>
      </c>
      <c r="J7" s="107">
        <f t="shared" si="1"/>
        <v>1190337</v>
      </c>
      <c r="K7" s="107">
        <f t="shared" si="0"/>
        <v>580940</v>
      </c>
      <c r="L7" s="158">
        <v>3.2000000000000001E-2</v>
      </c>
      <c r="M7" s="14">
        <f t="shared" si="2"/>
        <v>0.91833881737560608</v>
      </c>
      <c r="N7" s="14">
        <f t="shared" si="3"/>
        <v>0.44819219478700956</v>
      </c>
    </row>
    <row r="8" spans="1:14" x14ac:dyDescent="0.3">
      <c r="A8" s="258">
        <v>6</v>
      </c>
      <c r="B8" s="107">
        <v>497186</v>
      </c>
      <c r="C8" s="107">
        <v>15718</v>
      </c>
      <c r="D8" s="107">
        <v>35518</v>
      </c>
      <c r="E8" s="107">
        <v>147771</v>
      </c>
      <c r="F8" s="107">
        <v>133025</v>
      </c>
      <c r="G8" s="107">
        <v>49214</v>
      </c>
      <c r="H8" s="107">
        <v>76704</v>
      </c>
      <c r="I8" s="107">
        <v>39236</v>
      </c>
      <c r="J8" s="107">
        <f t="shared" si="1"/>
        <v>445950</v>
      </c>
      <c r="K8" s="107">
        <f t="shared" si="0"/>
        <v>115940</v>
      </c>
      <c r="L8" s="158">
        <v>5.8000000000000003E-2</v>
      </c>
      <c r="M8" s="14">
        <f t="shared" si="2"/>
        <v>0.89694802347612368</v>
      </c>
      <c r="N8" s="14">
        <f t="shared" si="3"/>
        <v>0.23319240686584095</v>
      </c>
    </row>
    <row r="9" spans="1:14" x14ac:dyDescent="0.3">
      <c r="A9" s="258">
        <v>7</v>
      </c>
      <c r="B9" s="107">
        <v>340383</v>
      </c>
      <c r="C9" s="107">
        <v>9754</v>
      </c>
      <c r="D9" s="107">
        <v>25285</v>
      </c>
      <c r="E9" s="107">
        <v>93585</v>
      </c>
      <c r="F9" s="107">
        <v>98496</v>
      </c>
      <c r="G9" s="107">
        <v>34242</v>
      </c>
      <c r="H9" s="107">
        <v>52228</v>
      </c>
      <c r="I9" s="107">
        <v>26793</v>
      </c>
      <c r="J9" s="107">
        <f t="shared" si="1"/>
        <v>305344</v>
      </c>
      <c r="K9" s="107">
        <f t="shared" si="0"/>
        <v>79021</v>
      </c>
      <c r="L9" s="158">
        <v>3.6999999999999998E-2</v>
      </c>
      <c r="M9" s="14">
        <f t="shared" si="2"/>
        <v>0.89706007644330066</v>
      </c>
      <c r="N9" s="14">
        <f t="shared" si="3"/>
        <v>0.23215319213944291</v>
      </c>
    </row>
    <row r="10" spans="1:14" x14ac:dyDescent="0.3">
      <c r="A10" s="258">
        <v>8</v>
      </c>
      <c r="B10" s="107">
        <v>154208</v>
      </c>
      <c r="C10" s="107">
        <v>17743</v>
      </c>
      <c r="D10" s="107">
        <v>15685</v>
      </c>
      <c r="E10" s="107">
        <v>44326</v>
      </c>
      <c r="F10" s="107">
        <v>34651</v>
      </c>
      <c r="G10" s="107">
        <v>14061</v>
      </c>
      <c r="H10" s="107">
        <v>18272</v>
      </c>
      <c r="I10" s="107">
        <v>9470</v>
      </c>
      <c r="J10" s="107">
        <f t="shared" si="1"/>
        <v>120780</v>
      </c>
      <c r="K10" s="107">
        <f t="shared" si="0"/>
        <v>27742</v>
      </c>
      <c r="L10" s="158">
        <v>5.6000000000000001E-2</v>
      </c>
      <c r="M10" s="14">
        <f t="shared" si="2"/>
        <v>0.78322784810126578</v>
      </c>
      <c r="N10" s="14">
        <f t="shared" si="3"/>
        <v>0.17989987549284084</v>
      </c>
    </row>
    <row r="11" spans="1:14" x14ac:dyDescent="0.3">
      <c r="A11" s="258">
        <v>9</v>
      </c>
      <c r="B11" s="107">
        <v>179957</v>
      </c>
      <c r="C11" s="107">
        <v>23884</v>
      </c>
      <c r="D11" s="107">
        <v>20598</v>
      </c>
      <c r="E11" s="107">
        <v>52761</v>
      </c>
      <c r="F11" s="107">
        <v>39081</v>
      </c>
      <c r="G11" s="107">
        <v>11678</v>
      </c>
      <c r="H11" s="107">
        <v>19927</v>
      </c>
      <c r="I11" s="107">
        <v>12028</v>
      </c>
      <c r="J11" s="107">
        <f t="shared" si="1"/>
        <v>135475</v>
      </c>
      <c r="K11" s="107">
        <f t="shared" si="0"/>
        <v>31955</v>
      </c>
      <c r="L11" s="159">
        <v>5.8000000000000003E-2</v>
      </c>
      <c r="M11" s="14">
        <f t="shared" si="2"/>
        <v>0.75281872891857504</v>
      </c>
      <c r="N11" s="14">
        <f t="shared" si="3"/>
        <v>0.1775701973249165</v>
      </c>
    </row>
    <row r="12" spans="1:14" x14ac:dyDescent="0.3">
      <c r="A12" s="258">
        <v>10</v>
      </c>
      <c r="B12" s="107">
        <v>299417</v>
      </c>
      <c r="C12" s="107">
        <v>6271</v>
      </c>
      <c r="D12" s="107">
        <v>19206</v>
      </c>
      <c r="E12" s="107">
        <v>76422</v>
      </c>
      <c r="F12" s="107">
        <v>80862</v>
      </c>
      <c r="G12" s="107">
        <v>35148</v>
      </c>
      <c r="H12" s="107">
        <v>52134</v>
      </c>
      <c r="I12" s="107">
        <v>29374</v>
      </c>
      <c r="J12" s="107">
        <f t="shared" si="1"/>
        <v>273940</v>
      </c>
      <c r="K12" s="107">
        <f t="shared" si="0"/>
        <v>81508</v>
      </c>
      <c r="L12" s="159">
        <v>2.1000000000000001E-2</v>
      </c>
      <c r="M12" s="14">
        <f t="shared" si="2"/>
        <v>0.91491131098100642</v>
      </c>
      <c r="N12" s="14">
        <f t="shared" si="3"/>
        <v>0.27222235210425594</v>
      </c>
    </row>
    <row r="13" spans="1:14" x14ac:dyDescent="0.3">
      <c r="A13" s="258">
        <v>11</v>
      </c>
      <c r="B13" s="107">
        <v>124751</v>
      </c>
      <c r="C13" s="107">
        <v>4784</v>
      </c>
      <c r="D13" s="107">
        <v>9420</v>
      </c>
      <c r="E13" s="107">
        <v>37189</v>
      </c>
      <c r="F13" s="107">
        <v>31444</v>
      </c>
      <c r="G13" s="107">
        <v>12074</v>
      </c>
      <c r="H13" s="107">
        <v>18188</v>
      </c>
      <c r="I13" s="107">
        <v>11652</v>
      </c>
      <c r="J13" s="107">
        <f t="shared" si="1"/>
        <v>110547</v>
      </c>
      <c r="K13" s="107">
        <f t="shared" si="0"/>
        <v>29840</v>
      </c>
      <c r="L13" s="159">
        <v>0.04</v>
      </c>
      <c r="M13" s="14">
        <f t="shared" si="2"/>
        <v>0.88614119325696783</v>
      </c>
      <c r="N13" s="14">
        <f t="shared" si="3"/>
        <v>0.23919647938693878</v>
      </c>
    </row>
    <row r="14" spans="1:14" x14ac:dyDescent="0.3">
      <c r="A14" s="258">
        <v>12</v>
      </c>
      <c r="B14" s="107">
        <v>140535</v>
      </c>
      <c r="C14" s="107">
        <v>13670</v>
      </c>
      <c r="D14" s="107">
        <v>11249</v>
      </c>
      <c r="E14" s="107">
        <v>36102</v>
      </c>
      <c r="F14" s="107">
        <v>33645</v>
      </c>
      <c r="G14" s="107">
        <v>12624</v>
      </c>
      <c r="H14" s="107">
        <v>20153</v>
      </c>
      <c r="I14" s="107">
        <v>13092</v>
      </c>
      <c r="J14" s="107">
        <f t="shared" si="1"/>
        <v>115616</v>
      </c>
      <c r="K14" s="107">
        <f t="shared" si="0"/>
        <v>33245</v>
      </c>
      <c r="L14" s="159">
        <v>3.7999999999999999E-2</v>
      </c>
      <c r="M14" s="14">
        <f t="shared" si="2"/>
        <v>0.82268474045611417</v>
      </c>
      <c r="N14" s="14">
        <f t="shared" si="3"/>
        <v>0.23656028747287153</v>
      </c>
    </row>
    <row r="15" spans="1:14" x14ac:dyDescent="0.3">
      <c r="A15" s="258"/>
      <c r="B15" s="258"/>
      <c r="C15" s="258"/>
      <c r="D15" s="258"/>
      <c r="E15" s="258"/>
      <c r="F15" s="258"/>
      <c r="G15" s="258"/>
      <c r="H15" s="258"/>
      <c r="I15" s="258"/>
      <c r="J15" s="258"/>
      <c r="K15" s="258"/>
      <c r="L15" s="124"/>
    </row>
    <row r="16" spans="1:14" x14ac:dyDescent="0.3">
      <c r="A16" s="164"/>
      <c r="B16" s="170"/>
      <c r="C16" s="258"/>
      <c r="D16" s="258"/>
      <c r="E16" s="258"/>
      <c r="F16" s="258"/>
      <c r="G16" s="170"/>
      <c r="H16" s="170"/>
      <c r="I16" s="258"/>
      <c r="J16" s="170"/>
      <c r="K16" s="170"/>
      <c r="L16" s="258"/>
    </row>
    <row r="17" spans="1:19" x14ac:dyDescent="0.3">
      <c r="A17" s="164"/>
      <c r="B17" s="170"/>
      <c r="C17" s="258"/>
      <c r="D17" s="258"/>
      <c r="E17" s="258"/>
      <c r="F17" s="258"/>
      <c r="G17" s="170"/>
      <c r="H17" s="170"/>
      <c r="I17" s="258"/>
      <c r="J17" s="170"/>
      <c r="K17" s="170"/>
      <c r="L17" s="258"/>
    </row>
    <row r="18" spans="1:19" x14ac:dyDescent="0.3">
      <c r="A18" s="164"/>
      <c r="B18" s="170"/>
      <c r="C18" s="258"/>
      <c r="D18" s="258"/>
      <c r="E18" s="258"/>
      <c r="F18" s="258"/>
      <c r="G18" s="170"/>
      <c r="H18" s="170"/>
      <c r="I18" s="258"/>
      <c r="J18" s="170"/>
      <c r="K18" s="170"/>
      <c r="L18" s="258"/>
    </row>
    <row r="19" spans="1:19" x14ac:dyDescent="0.3">
      <c r="A19" s="646" t="s">
        <v>691</v>
      </c>
      <c r="B19" s="646"/>
      <c r="C19" s="646"/>
      <c r="D19" s="646"/>
      <c r="E19" s="646"/>
      <c r="F19" s="646"/>
      <c r="G19" s="646"/>
      <c r="H19" s="646"/>
      <c r="I19" s="646"/>
      <c r="J19" s="646"/>
      <c r="K19" s="646"/>
      <c r="L19" s="646"/>
    </row>
    <row r="20" spans="1:19" x14ac:dyDescent="0.3">
      <c r="A20" s="441"/>
      <c r="B20" s="442"/>
      <c r="C20" s="647" t="s">
        <v>626</v>
      </c>
      <c r="D20" s="648"/>
      <c r="E20" s="648"/>
      <c r="F20" s="649"/>
      <c r="G20" s="443"/>
      <c r="H20" s="258"/>
      <c r="I20" s="258"/>
      <c r="J20" s="258"/>
      <c r="K20" s="258"/>
      <c r="L20" s="258"/>
      <c r="M20" s="258"/>
      <c r="N20" s="258"/>
      <c r="O20" s="258"/>
      <c r="P20" s="258"/>
      <c r="Q20" s="258"/>
      <c r="R20" s="258"/>
      <c r="S20" s="258"/>
    </row>
    <row r="21" spans="1:19" ht="25.5" x14ac:dyDescent="0.3">
      <c r="A21" s="444" t="s">
        <v>263</v>
      </c>
      <c r="B21" s="445" t="s">
        <v>627</v>
      </c>
      <c r="C21" s="446" t="s">
        <v>628</v>
      </c>
      <c r="D21" s="447" t="s">
        <v>629</v>
      </c>
      <c r="E21" s="447" t="s">
        <v>630</v>
      </c>
      <c r="F21" s="448" t="s">
        <v>631</v>
      </c>
      <c r="G21" s="449" t="s">
        <v>632</v>
      </c>
      <c r="H21" s="164"/>
      <c r="I21" s="170"/>
      <c r="J21" s="258"/>
      <c r="K21" s="258"/>
      <c r="L21" s="258"/>
      <c r="M21" s="258"/>
      <c r="N21" s="170"/>
      <c r="O21" s="170"/>
      <c r="P21" s="258"/>
      <c r="Q21" s="170"/>
      <c r="R21" s="170"/>
      <c r="S21" s="258"/>
    </row>
    <row r="22" spans="1:19" x14ac:dyDescent="0.3">
      <c r="A22" s="193" t="s">
        <v>102</v>
      </c>
      <c r="B22" s="450">
        <v>321</v>
      </c>
      <c r="C22" s="450">
        <v>0</v>
      </c>
      <c r="D22" s="450">
        <v>7</v>
      </c>
      <c r="E22" s="450">
        <v>14</v>
      </c>
      <c r="F22" s="450">
        <v>23</v>
      </c>
      <c r="G22" s="451">
        <f t="shared" ref="G22:G60" si="4">IF(B22=0,"n/a",(C22+D22+E22+F22)/B22*100)</f>
        <v>13.707165109034266</v>
      </c>
      <c r="H22" s="164"/>
      <c r="I22" s="170"/>
      <c r="J22" s="258"/>
      <c r="K22" s="258"/>
      <c r="L22" s="258"/>
      <c r="M22" s="258"/>
      <c r="N22" s="170"/>
      <c r="O22" s="170"/>
      <c r="P22" s="258"/>
      <c r="Q22" s="170"/>
      <c r="R22" s="170"/>
      <c r="S22" s="258"/>
    </row>
    <row r="23" spans="1:19" x14ac:dyDescent="0.3">
      <c r="A23" s="193" t="s">
        <v>140</v>
      </c>
      <c r="B23" s="450">
        <v>271</v>
      </c>
      <c r="C23" s="450">
        <v>4</v>
      </c>
      <c r="D23" s="450">
        <v>6</v>
      </c>
      <c r="E23" s="450">
        <v>9</v>
      </c>
      <c r="F23" s="450">
        <v>33</v>
      </c>
      <c r="G23" s="451">
        <f t="shared" si="4"/>
        <v>19.188191881918819</v>
      </c>
      <c r="H23" s="164"/>
      <c r="I23" s="170"/>
      <c r="J23" s="258"/>
      <c r="K23" s="258"/>
      <c r="L23" s="258"/>
      <c r="M23" s="258"/>
      <c r="N23" s="170"/>
      <c r="O23" s="170"/>
      <c r="P23" s="258"/>
      <c r="Q23" s="170"/>
      <c r="R23" s="170"/>
      <c r="S23" s="258"/>
    </row>
    <row r="24" spans="1:19" x14ac:dyDescent="0.3">
      <c r="A24" s="193" t="s">
        <v>141</v>
      </c>
      <c r="B24" s="450">
        <v>2486</v>
      </c>
      <c r="C24" s="450">
        <v>21</v>
      </c>
      <c r="D24" s="450">
        <v>31</v>
      </c>
      <c r="E24" s="450">
        <v>91</v>
      </c>
      <c r="F24" s="450">
        <v>131</v>
      </c>
      <c r="G24" s="451">
        <f t="shared" si="4"/>
        <v>11.021721641190668</v>
      </c>
      <c r="H24" s="164"/>
      <c r="I24" s="170"/>
      <c r="J24" s="258"/>
      <c r="K24" s="258"/>
      <c r="L24" s="258"/>
      <c r="M24" s="258"/>
      <c r="N24" s="170"/>
      <c r="O24" s="170"/>
      <c r="P24" s="258"/>
      <c r="Q24" s="170"/>
      <c r="R24" s="170"/>
      <c r="S24" s="258"/>
    </row>
    <row r="25" spans="1:19" x14ac:dyDescent="0.3">
      <c r="A25" s="193" t="s">
        <v>102</v>
      </c>
      <c r="B25" s="450">
        <v>919</v>
      </c>
      <c r="C25" s="450">
        <v>10</v>
      </c>
      <c r="D25" s="450">
        <v>11</v>
      </c>
      <c r="E25" s="450">
        <v>36</v>
      </c>
      <c r="F25" s="450">
        <v>101</v>
      </c>
      <c r="G25" s="451">
        <f t="shared" si="4"/>
        <v>17.19260065288357</v>
      </c>
      <c r="H25" s="164"/>
      <c r="I25" s="170"/>
      <c r="J25" s="258"/>
      <c r="K25" s="258"/>
      <c r="L25" s="258"/>
      <c r="M25" s="258"/>
      <c r="N25" s="170"/>
      <c r="O25" s="170"/>
      <c r="P25" s="258"/>
      <c r="Q25" s="170"/>
      <c r="R25" s="170"/>
      <c r="S25" s="258"/>
    </row>
    <row r="26" spans="1:19" x14ac:dyDescent="0.3">
      <c r="A26" s="193" t="s">
        <v>86</v>
      </c>
      <c r="B26" s="450">
        <v>1822</v>
      </c>
      <c r="C26" s="450">
        <v>68</v>
      </c>
      <c r="D26" s="450">
        <v>107</v>
      </c>
      <c r="E26" s="450">
        <v>258</v>
      </c>
      <c r="F26" s="450">
        <v>394</v>
      </c>
      <c r="G26" s="451">
        <f t="shared" si="4"/>
        <v>45.389681668496159</v>
      </c>
      <c r="H26" s="164"/>
      <c r="I26" s="170"/>
      <c r="J26" s="258"/>
      <c r="K26" s="258"/>
      <c r="L26" s="258"/>
      <c r="M26" s="258"/>
      <c r="N26" s="170"/>
      <c r="O26" s="170"/>
      <c r="P26" s="258"/>
      <c r="Q26" s="170"/>
      <c r="R26" s="170"/>
      <c r="S26" s="258"/>
    </row>
    <row r="27" spans="1:19" x14ac:dyDescent="0.3">
      <c r="A27" s="193" t="s">
        <v>139</v>
      </c>
      <c r="B27" s="450">
        <v>5518</v>
      </c>
      <c r="C27" s="450">
        <v>35</v>
      </c>
      <c r="D27" s="450">
        <v>89</v>
      </c>
      <c r="E27" s="450">
        <v>170</v>
      </c>
      <c r="F27" s="450">
        <v>481</v>
      </c>
      <c r="G27" s="451">
        <f t="shared" si="4"/>
        <v>14.04494382022472</v>
      </c>
      <c r="H27" s="164"/>
      <c r="I27" s="170"/>
      <c r="J27" s="258"/>
      <c r="K27" s="258"/>
      <c r="L27" s="258"/>
      <c r="M27" s="258"/>
      <c r="N27" s="170"/>
      <c r="O27" s="170"/>
      <c r="P27" s="258"/>
      <c r="Q27" s="170"/>
      <c r="R27" s="170"/>
      <c r="S27" s="258"/>
    </row>
    <row r="28" spans="1:19" x14ac:dyDescent="0.3">
      <c r="A28" s="193" t="s">
        <v>140</v>
      </c>
      <c r="B28" s="450">
        <v>45</v>
      </c>
      <c r="C28" s="450">
        <v>0</v>
      </c>
      <c r="D28" s="450">
        <v>0</v>
      </c>
      <c r="E28" s="450">
        <v>1</v>
      </c>
      <c r="F28" s="450">
        <v>0</v>
      </c>
      <c r="G28" s="451">
        <f t="shared" si="4"/>
        <v>2.2222222222222223</v>
      </c>
      <c r="H28" s="164"/>
      <c r="I28" s="170"/>
      <c r="J28" s="258"/>
      <c r="K28" s="258"/>
      <c r="L28" s="258"/>
      <c r="M28" s="258"/>
      <c r="N28" s="170"/>
      <c r="O28" s="170"/>
      <c r="P28" s="258"/>
      <c r="Q28" s="170"/>
      <c r="R28" s="170"/>
      <c r="S28" s="258"/>
    </row>
    <row r="29" spans="1:19" x14ac:dyDescent="0.3">
      <c r="A29" s="193" t="s">
        <v>139</v>
      </c>
      <c r="B29" s="450">
        <v>1273</v>
      </c>
      <c r="C29" s="450">
        <v>7</v>
      </c>
      <c r="D29" s="450">
        <v>17</v>
      </c>
      <c r="E29" s="450">
        <v>32</v>
      </c>
      <c r="F29" s="450">
        <v>94</v>
      </c>
      <c r="G29" s="451">
        <f t="shared" si="4"/>
        <v>11.783189316575021</v>
      </c>
      <c r="H29" s="164"/>
      <c r="I29" s="170"/>
      <c r="J29" s="258"/>
      <c r="K29" s="258"/>
      <c r="L29" s="258"/>
      <c r="M29" s="258"/>
      <c r="N29" s="170"/>
      <c r="O29" s="170"/>
      <c r="P29" s="258"/>
      <c r="Q29" s="170"/>
      <c r="R29" s="170"/>
      <c r="S29" s="258"/>
    </row>
    <row r="30" spans="1:19" x14ac:dyDescent="0.3">
      <c r="A30" s="193" t="s">
        <v>102</v>
      </c>
      <c r="B30" s="450">
        <v>460</v>
      </c>
      <c r="C30" s="450">
        <v>2</v>
      </c>
      <c r="D30" s="450">
        <v>2</v>
      </c>
      <c r="E30" s="450">
        <v>4</v>
      </c>
      <c r="F30" s="450">
        <v>32</v>
      </c>
      <c r="G30" s="451">
        <f t="shared" si="4"/>
        <v>8.695652173913043</v>
      </c>
      <c r="H30" s="258"/>
      <c r="I30" s="258"/>
      <c r="J30" s="258"/>
      <c r="K30" s="258"/>
      <c r="L30" s="258"/>
      <c r="M30" s="258"/>
      <c r="N30" s="258"/>
      <c r="O30" s="258"/>
      <c r="P30" s="258"/>
      <c r="Q30" s="258"/>
      <c r="R30" s="258"/>
      <c r="S30" s="258"/>
    </row>
    <row r="31" spans="1:19" x14ac:dyDescent="0.3">
      <c r="A31" s="193" t="s">
        <v>140</v>
      </c>
      <c r="B31" s="450">
        <v>81</v>
      </c>
      <c r="C31" s="450">
        <v>0</v>
      </c>
      <c r="D31" s="450">
        <v>5</v>
      </c>
      <c r="E31" s="450">
        <v>1</v>
      </c>
      <c r="F31" s="450">
        <v>3</v>
      </c>
      <c r="G31" s="451">
        <f t="shared" si="4"/>
        <v>11.111111111111111</v>
      </c>
      <c r="H31" s="164"/>
      <c r="I31" s="170"/>
      <c r="J31" s="258"/>
      <c r="K31" s="258"/>
      <c r="L31" s="258"/>
      <c r="M31" s="258"/>
      <c r="N31" s="170"/>
      <c r="O31" s="170"/>
      <c r="P31" s="258"/>
      <c r="Q31" s="170"/>
      <c r="R31" s="170"/>
      <c r="S31" s="258"/>
    </row>
    <row r="32" spans="1:19" x14ac:dyDescent="0.3">
      <c r="A32" s="193" t="s">
        <v>141</v>
      </c>
      <c r="B32" s="450">
        <v>1083</v>
      </c>
      <c r="C32" s="450">
        <v>21</v>
      </c>
      <c r="D32" s="450">
        <v>24</v>
      </c>
      <c r="E32" s="450">
        <v>60</v>
      </c>
      <c r="F32" s="450">
        <v>100</v>
      </c>
      <c r="G32" s="451">
        <f t="shared" si="4"/>
        <v>18.928901200369346</v>
      </c>
      <c r="H32" s="164"/>
      <c r="I32" s="170"/>
      <c r="J32" s="258"/>
      <c r="K32" s="258"/>
      <c r="L32" s="258"/>
      <c r="M32" s="258"/>
      <c r="N32" s="170"/>
      <c r="O32" s="170"/>
      <c r="P32" s="258"/>
      <c r="Q32" s="170"/>
      <c r="R32" s="170"/>
      <c r="S32" s="258"/>
    </row>
    <row r="33" spans="1:19" x14ac:dyDescent="0.3">
      <c r="A33" s="193" t="s">
        <v>140</v>
      </c>
      <c r="B33" s="450">
        <v>24</v>
      </c>
      <c r="C33" s="450">
        <v>0</v>
      </c>
      <c r="D33" s="450">
        <v>0</v>
      </c>
      <c r="E33" s="450">
        <v>0</v>
      </c>
      <c r="F33" s="450">
        <v>0</v>
      </c>
      <c r="G33" s="451">
        <f t="shared" si="4"/>
        <v>0</v>
      </c>
      <c r="H33" s="164"/>
      <c r="I33" s="170"/>
      <c r="J33" s="258"/>
      <c r="K33" s="258"/>
      <c r="L33" s="258"/>
      <c r="M33" s="258"/>
      <c r="N33" s="170"/>
      <c r="O33" s="170"/>
      <c r="P33" s="258"/>
      <c r="Q33" s="170"/>
      <c r="R33" s="170"/>
      <c r="S33" s="258"/>
    </row>
    <row r="34" spans="1:19" x14ac:dyDescent="0.3">
      <c r="A34" s="193" t="s">
        <v>102</v>
      </c>
      <c r="B34" s="450">
        <v>1296</v>
      </c>
      <c r="C34" s="450">
        <v>24</v>
      </c>
      <c r="D34" s="450">
        <v>27</v>
      </c>
      <c r="E34" s="450">
        <v>61</v>
      </c>
      <c r="F34" s="450">
        <v>99</v>
      </c>
      <c r="G34" s="451">
        <f t="shared" si="4"/>
        <v>16.280864197530864</v>
      </c>
      <c r="H34" s="164"/>
      <c r="I34" s="170"/>
      <c r="J34" s="258"/>
      <c r="K34" s="258"/>
      <c r="L34" s="258"/>
      <c r="M34" s="258"/>
      <c r="N34" s="170"/>
      <c r="O34" s="170"/>
      <c r="P34" s="258"/>
      <c r="Q34" s="170"/>
      <c r="R34" s="170"/>
      <c r="S34" s="258"/>
    </row>
    <row r="35" spans="1:19" x14ac:dyDescent="0.3">
      <c r="A35" s="193" t="s">
        <v>136</v>
      </c>
      <c r="B35" s="450">
        <v>817</v>
      </c>
      <c r="C35" s="450">
        <v>3</v>
      </c>
      <c r="D35" s="450">
        <v>10</v>
      </c>
      <c r="E35" s="450">
        <v>47</v>
      </c>
      <c r="F35" s="450">
        <v>87</v>
      </c>
      <c r="G35" s="451">
        <f t="shared" si="4"/>
        <v>17.992656058751528</v>
      </c>
      <c r="H35" s="164"/>
      <c r="I35" s="170"/>
      <c r="J35" s="258"/>
      <c r="K35" s="258"/>
      <c r="L35" s="258"/>
      <c r="M35" s="258"/>
      <c r="N35" s="170"/>
      <c r="O35" s="170"/>
      <c r="P35" s="258"/>
      <c r="Q35" s="170"/>
      <c r="R35" s="170"/>
      <c r="S35" s="258"/>
    </row>
    <row r="36" spans="1:19" x14ac:dyDescent="0.3">
      <c r="A36" s="193" t="s">
        <v>103</v>
      </c>
      <c r="B36" s="450">
        <v>641</v>
      </c>
      <c r="C36" s="450">
        <v>4</v>
      </c>
      <c r="D36" s="450">
        <v>3</v>
      </c>
      <c r="E36" s="450">
        <v>7</v>
      </c>
      <c r="F36" s="450">
        <v>35</v>
      </c>
      <c r="G36" s="451">
        <f t="shared" si="4"/>
        <v>7.6443057722308891</v>
      </c>
      <c r="H36" s="164"/>
      <c r="I36" s="170"/>
      <c r="J36" s="258"/>
      <c r="K36" s="258"/>
      <c r="L36" s="258"/>
      <c r="M36" s="258"/>
      <c r="N36" s="170"/>
      <c r="O36" s="170"/>
      <c r="P36" s="258"/>
      <c r="Q36" s="170"/>
      <c r="R36" s="170"/>
      <c r="S36" s="258"/>
    </row>
    <row r="37" spans="1:19" x14ac:dyDescent="0.3">
      <c r="A37" s="193" t="s">
        <v>86</v>
      </c>
      <c r="B37" s="450">
        <v>256</v>
      </c>
      <c r="C37" s="450">
        <v>1</v>
      </c>
      <c r="D37" s="450">
        <v>2</v>
      </c>
      <c r="E37" s="450">
        <v>3</v>
      </c>
      <c r="F37" s="450">
        <v>13</v>
      </c>
      <c r="G37" s="451">
        <f t="shared" si="4"/>
        <v>7.421875</v>
      </c>
      <c r="H37" s="164"/>
      <c r="I37" s="170"/>
      <c r="J37" s="258"/>
      <c r="K37" s="258"/>
      <c r="L37" s="258"/>
      <c r="M37" s="258"/>
      <c r="N37" s="170"/>
      <c r="O37" s="170"/>
      <c r="P37" s="258"/>
      <c r="Q37" s="170"/>
      <c r="R37" s="170"/>
      <c r="S37" s="258"/>
    </row>
    <row r="38" spans="1:19" x14ac:dyDescent="0.3">
      <c r="A38" s="193" t="s">
        <v>137</v>
      </c>
      <c r="B38" s="450">
        <v>18950</v>
      </c>
      <c r="C38" s="450">
        <v>161</v>
      </c>
      <c r="D38" s="450">
        <v>281</v>
      </c>
      <c r="E38" s="450">
        <v>491</v>
      </c>
      <c r="F38" s="450">
        <v>1151</v>
      </c>
      <c r="G38" s="451">
        <f t="shared" si="4"/>
        <v>10.997361477572559</v>
      </c>
      <c r="H38" s="164"/>
      <c r="I38" s="170"/>
      <c r="J38" s="258"/>
      <c r="K38" s="258"/>
      <c r="L38" s="258"/>
      <c r="M38" s="258"/>
      <c r="N38" s="170"/>
      <c r="O38" s="170"/>
      <c r="P38" s="258"/>
      <c r="Q38" s="170"/>
      <c r="R38" s="170"/>
      <c r="S38" s="258"/>
    </row>
    <row r="39" spans="1:19" x14ac:dyDescent="0.3">
      <c r="A39" s="193" t="s">
        <v>86</v>
      </c>
      <c r="B39" s="450">
        <v>2954</v>
      </c>
      <c r="C39" s="450">
        <v>6</v>
      </c>
      <c r="D39" s="450">
        <v>26</v>
      </c>
      <c r="E39" s="450">
        <v>49</v>
      </c>
      <c r="F39" s="450">
        <v>166</v>
      </c>
      <c r="G39" s="451">
        <f t="shared" si="4"/>
        <v>8.3615436696005414</v>
      </c>
      <c r="H39" s="164"/>
      <c r="I39" s="170"/>
      <c r="J39" s="258"/>
      <c r="K39" s="258"/>
      <c r="L39" s="258"/>
      <c r="M39" s="258"/>
      <c r="N39" s="170"/>
      <c r="O39" s="170"/>
      <c r="P39" s="258"/>
      <c r="Q39" s="170"/>
      <c r="R39" s="170"/>
      <c r="S39" s="258"/>
    </row>
    <row r="40" spans="1:19" x14ac:dyDescent="0.3">
      <c r="A40" s="193" t="s">
        <v>107</v>
      </c>
      <c r="B40" s="450">
        <v>431</v>
      </c>
      <c r="C40" s="450">
        <v>10</v>
      </c>
      <c r="D40" s="450">
        <v>22</v>
      </c>
      <c r="E40" s="450">
        <v>21</v>
      </c>
      <c r="F40" s="450">
        <v>40</v>
      </c>
      <c r="G40" s="451">
        <f t="shared" si="4"/>
        <v>21.57772621809745</v>
      </c>
      <c r="H40" s="164"/>
      <c r="I40" s="170"/>
      <c r="J40" s="258"/>
      <c r="K40" s="258"/>
      <c r="L40" s="258"/>
      <c r="M40" s="258"/>
      <c r="N40" s="170"/>
      <c r="O40" s="170"/>
      <c r="P40" s="258"/>
      <c r="Q40" s="170"/>
      <c r="R40" s="170"/>
      <c r="S40" s="258"/>
    </row>
    <row r="41" spans="1:19" x14ac:dyDescent="0.3">
      <c r="A41" s="193" t="s">
        <v>107</v>
      </c>
      <c r="B41" s="450">
        <v>259</v>
      </c>
      <c r="C41" s="450">
        <v>0</v>
      </c>
      <c r="D41" s="450">
        <v>8</v>
      </c>
      <c r="E41" s="450">
        <v>9</v>
      </c>
      <c r="F41" s="450">
        <v>13</v>
      </c>
      <c r="G41" s="451">
        <f t="shared" si="4"/>
        <v>11.583011583011583</v>
      </c>
      <c r="H41" s="164"/>
      <c r="I41" s="170"/>
      <c r="J41" s="258"/>
      <c r="K41" s="258"/>
      <c r="L41" s="258"/>
      <c r="M41" s="258"/>
      <c r="N41" s="170"/>
      <c r="O41" s="170"/>
      <c r="P41" s="258"/>
      <c r="Q41" s="170"/>
      <c r="R41" s="170"/>
      <c r="S41" s="258"/>
    </row>
    <row r="42" spans="1:19" x14ac:dyDescent="0.3">
      <c r="A42" s="193" t="s">
        <v>136</v>
      </c>
      <c r="B42" s="450">
        <v>973</v>
      </c>
      <c r="C42" s="450">
        <v>4</v>
      </c>
      <c r="D42" s="450">
        <v>12</v>
      </c>
      <c r="E42" s="450">
        <v>47</v>
      </c>
      <c r="F42" s="450">
        <v>112</v>
      </c>
      <c r="G42" s="451">
        <f t="shared" si="4"/>
        <v>17.985611510791365</v>
      </c>
      <c r="H42" s="164"/>
      <c r="I42" s="170"/>
      <c r="J42" s="258"/>
      <c r="K42" s="258"/>
      <c r="L42" s="258"/>
      <c r="M42" s="258"/>
      <c r="N42" s="170"/>
      <c r="O42" s="170"/>
      <c r="P42" s="258"/>
      <c r="Q42" s="170"/>
      <c r="R42" s="170"/>
      <c r="S42" s="258"/>
    </row>
    <row r="43" spans="1:19" x14ac:dyDescent="0.3">
      <c r="A43" s="193" t="s">
        <v>140</v>
      </c>
      <c r="B43" s="450">
        <v>150</v>
      </c>
      <c r="C43" s="450">
        <v>3</v>
      </c>
      <c r="D43" s="450">
        <v>1</v>
      </c>
      <c r="E43" s="450">
        <v>3</v>
      </c>
      <c r="F43" s="450">
        <v>3</v>
      </c>
      <c r="G43" s="451">
        <f t="shared" si="4"/>
        <v>6.666666666666667</v>
      </c>
      <c r="H43" s="258"/>
      <c r="I43" s="170"/>
      <c r="J43" s="258"/>
      <c r="K43" s="258"/>
      <c r="L43" s="258"/>
      <c r="M43" s="258"/>
      <c r="N43" s="170"/>
      <c r="O43" s="170"/>
      <c r="P43" s="258"/>
      <c r="Q43" s="170"/>
      <c r="R43" s="170"/>
      <c r="S43" s="258"/>
    </row>
    <row r="44" spans="1:19" x14ac:dyDescent="0.3">
      <c r="A44" s="193" t="s">
        <v>136</v>
      </c>
      <c r="B44" s="450">
        <v>638</v>
      </c>
      <c r="C44" s="450">
        <v>5</v>
      </c>
      <c r="D44" s="450">
        <v>9</v>
      </c>
      <c r="E44" s="450">
        <v>18</v>
      </c>
      <c r="F44" s="450">
        <v>61</v>
      </c>
      <c r="G44" s="451">
        <f t="shared" si="4"/>
        <v>14.576802507836991</v>
      </c>
    </row>
    <row r="45" spans="1:19" x14ac:dyDescent="0.3">
      <c r="A45" s="193" t="s">
        <v>102</v>
      </c>
      <c r="B45" s="450">
        <v>490</v>
      </c>
      <c r="C45" s="450">
        <v>5</v>
      </c>
      <c r="D45" s="450">
        <v>6</v>
      </c>
      <c r="E45" s="450">
        <v>19</v>
      </c>
      <c r="F45" s="450">
        <v>43</v>
      </c>
      <c r="G45" s="451">
        <f t="shared" si="4"/>
        <v>14.897959183673471</v>
      </c>
      <c r="H45" s="258"/>
      <c r="I45" s="258"/>
      <c r="J45" s="258"/>
      <c r="K45" s="258"/>
      <c r="L45" s="258"/>
      <c r="M45" s="258"/>
      <c r="N45" s="258"/>
      <c r="O45" s="258"/>
      <c r="P45" s="258"/>
      <c r="Q45" s="258"/>
      <c r="R45" s="258"/>
      <c r="S45" s="258"/>
    </row>
    <row r="46" spans="1:19" x14ac:dyDescent="0.3">
      <c r="A46" s="193" t="s">
        <v>136</v>
      </c>
      <c r="B46" s="450">
        <v>247</v>
      </c>
      <c r="C46" s="450">
        <v>4</v>
      </c>
      <c r="D46" s="450">
        <v>8</v>
      </c>
      <c r="E46" s="450">
        <v>14</v>
      </c>
      <c r="F46" s="450">
        <v>41</v>
      </c>
      <c r="G46" s="451">
        <f t="shared" si="4"/>
        <v>27.125506072874494</v>
      </c>
      <c r="H46" s="164"/>
      <c r="I46" s="170"/>
      <c r="J46" s="258"/>
      <c r="K46" s="258"/>
      <c r="L46" s="258"/>
      <c r="M46" s="258"/>
      <c r="N46" s="170"/>
      <c r="O46" s="170"/>
      <c r="P46" s="258"/>
      <c r="Q46" s="170"/>
      <c r="R46" s="170"/>
      <c r="S46" s="258"/>
    </row>
    <row r="47" spans="1:19" x14ac:dyDescent="0.3">
      <c r="A47" s="193" t="s">
        <v>140</v>
      </c>
      <c r="B47" s="450">
        <v>148</v>
      </c>
      <c r="C47" s="450">
        <v>0</v>
      </c>
      <c r="D47" s="450">
        <v>2</v>
      </c>
      <c r="E47" s="450">
        <v>2</v>
      </c>
      <c r="F47" s="450">
        <v>6</v>
      </c>
      <c r="G47" s="451">
        <f t="shared" si="4"/>
        <v>6.756756756756757</v>
      </c>
      <c r="H47" s="164"/>
      <c r="I47" s="170"/>
      <c r="J47" s="258"/>
      <c r="K47" s="258"/>
      <c r="L47" s="258"/>
      <c r="M47" s="258"/>
      <c r="N47" s="170"/>
      <c r="O47" s="170"/>
      <c r="P47" s="258"/>
      <c r="Q47" s="170"/>
      <c r="R47" s="170"/>
      <c r="S47" s="258"/>
    </row>
    <row r="48" spans="1:19" x14ac:dyDescent="0.3">
      <c r="A48" s="193" t="s">
        <v>138</v>
      </c>
      <c r="B48" s="450">
        <v>9156</v>
      </c>
      <c r="C48" s="450">
        <v>81</v>
      </c>
      <c r="D48" s="450">
        <v>167</v>
      </c>
      <c r="E48" s="450">
        <v>355</v>
      </c>
      <c r="F48" s="450">
        <v>904</v>
      </c>
      <c r="G48" s="451">
        <f t="shared" si="4"/>
        <v>16.459152468326778</v>
      </c>
      <c r="H48" s="164"/>
      <c r="I48" s="170"/>
      <c r="J48" s="258"/>
      <c r="K48" s="258"/>
      <c r="L48" s="258"/>
      <c r="M48" s="258"/>
      <c r="N48" s="170"/>
      <c r="O48" s="170"/>
      <c r="P48" s="258"/>
      <c r="Q48" s="170"/>
      <c r="R48" s="170"/>
      <c r="S48" s="258"/>
    </row>
    <row r="49" spans="1:19" x14ac:dyDescent="0.3">
      <c r="A49" s="193" t="s">
        <v>103</v>
      </c>
      <c r="B49" s="450">
        <v>136</v>
      </c>
      <c r="C49" s="450">
        <v>0</v>
      </c>
      <c r="D49" s="450">
        <v>1</v>
      </c>
      <c r="E49" s="450">
        <v>3</v>
      </c>
      <c r="F49" s="450">
        <v>7</v>
      </c>
      <c r="G49" s="451">
        <f t="shared" si="4"/>
        <v>8.0882352941176467</v>
      </c>
      <c r="H49" s="164"/>
      <c r="I49" s="170"/>
      <c r="J49" s="258"/>
      <c r="K49" s="258"/>
      <c r="L49" s="258"/>
      <c r="M49" s="258"/>
      <c r="N49" s="170"/>
      <c r="O49" s="170"/>
      <c r="P49" s="258"/>
      <c r="Q49" s="170"/>
      <c r="R49" s="170"/>
      <c r="S49" s="258"/>
    </row>
    <row r="50" spans="1:19" x14ac:dyDescent="0.3">
      <c r="A50" s="193" t="s">
        <v>103</v>
      </c>
      <c r="B50" s="450">
        <v>1465</v>
      </c>
      <c r="C50" s="450">
        <v>9</v>
      </c>
      <c r="D50" s="450">
        <v>44</v>
      </c>
      <c r="E50" s="450">
        <v>78</v>
      </c>
      <c r="F50" s="450">
        <v>143</v>
      </c>
      <c r="G50" s="451">
        <f t="shared" si="4"/>
        <v>18.703071672354948</v>
      </c>
      <c r="H50" s="164"/>
      <c r="I50" s="170"/>
      <c r="J50" s="258"/>
      <c r="K50" s="258"/>
      <c r="L50" s="258"/>
      <c r="M50" s="258"/>
      <c r="N50" s="170"/>
      <c r="O50" s="170"/>
      <c r="P50" s="258"/>
      <c r="Q50" s="170"/>
      <c r="R50" s="170"/>
      <c r="S50" s="258"/>
    </row>
    <row r="51" spans="1:19" x14ac:dyDescent="0.3">
      <c r="A51" s="193" t="s">
        <v>107</v>
      </c>
      <c r="B51" s="450">
        <v>167</v>
      </c>
      <c r="C51" s="450">
        <v>0</v>
      </c>
      <c r="D51" s="450">
        <v>3</v>
      </c>
      <c r="E51" s="450">
        <v>38</v>
      </c>
      <c r="F51" s="450">
        <v>45</v>
      </c>
      <c r="G51" s="451">
        <f t="shared" si="4"/>
        <v>51.49700598802395</v>
      </c>
      <c r="H51" s="164"/>
      <c r="I51" s="170"/>
      <c r="J51" s="258"/>
      <c r="K51" s="258"/>
      <c r="L51" s="258"/>
      <c r="M51" s="258"/>
      <c r="N51" s="170"/>
      <c r="O51" s="170"/>
      <c r="P51" s="258"/>
      <c r="Q51" s="170"/>
      <c r="R51" s="170"/>
      <c r="S51" s="258"/>
    </row>
    <row r="52" spans="1:19" x14ac:dyDescent="0.3">
      <c r="A52" s="193" t="s">
        <v>106</v>
      </c>
      <c r="B52" s="450">
        <v>8546</v>
      </c>
      <c r="C52" s="450">
        <v>44</v>
      </c>
      <c r="D52" s="450">
        <v>86</v>
      </c>
      <c r="E52" s="450">
        <v>252</v>
      </c>
      <c r="F52" s="450">
        <v>694</v>
      </c>
      <c r="G52" s="451">
        <f t="shared" si="4"/>
        <v>12.590685700912708</v>
      </c>
      <c r="H52" s="164"/>
      <c r="I52" s="170"/>
      <c r="J52" s="258"/>
      <c r="K52" s="258"/>
      <c r="L52" s="258"/>
      <c r="M52" s="258"/>
      <c r="N52" s="170"/>
      <c r="O52" s="170"/>
      <c r="P52" s="258"/>
      <c r="Q52" s="170"/>
      <c r="R52" s="170"/>
      <c r="S52" s="258"/>
    </row>
    <row r="53" spans="1:19" x14ac:dyDescent="0.3">
      <c r="A53" s="193" t="s">
        <v>109</v>
      </c>
      <c r="B53" s="450">
        <v>5838</v>
      </c>
      <c r="C53" s="450">
        <v>49</v>
      </c>
      <c r="D53" s="450">
        <v>98</v>
      </c>
      <c r="E53" s="450">
        <v>192</v>
      </c>
      <c r="F53" s="450">
        <v>366</v>
      </c>
      <c r="G53" s="451">
        <f t="shared" si="4"/>
        <v>12.076053442959918</v>
      </c>
      <c r="H53" s="164"/>
      <c r="I53" s="170"/>
      <c r="J53" s="258"/>
      <c r="K53" s="258"/>
      <c r="L53" s="258"/>
      <c r="M53" s="258"/>
      <c r="N53" s="170"/>
      <c r="O53" s="170"/>
      <c r="P53" s="258"/>
      <c r="Q53" s="170"/>
      <c r="R53" s="170"/>
      <c r="S53" s="258"/>
    </row>
    <row r="54" spans="1:19" x14ac:dyDescent="0.3">
      <c r="A54" s="193" t="s">
        <v>140</v>
      </c>
      <c r="B54" s="450">
        <v>664</v>
      </c>
      <c r="C54" s="450">
        <v>3</v>
      </c>
      <c r="D54" s="450">
        <v>3</v>
      </c>
      <c r="E54" s="450">
        <v>36</v>
      </c>
      <c r="F54" s="450">
        <v>79</v>
      </c>
      <c r="G54" s="451">
        <f t="shared" si="4"/>
        <v>18.222891566265059</v>
      </c>
      <c r="H54" s="164"/>
      <c r="I54" s="170"/>
      <c r="J54" s="258"/>
      <c r="K54" s="258"/>
      <c r="L54" s="258"/>
      <c r="M54" s="258"/>
      <c r="N54" s="170"/>
      <c r="O54" s="170"/>
      <c r="P54" s="258"/>
      <c r="Q54" s="170"/>
      <c r="R54" s="170"/>
      <c r="S54" s="258"/>
    </row>
    <row r="55" spans="1:19" x14ac:dyDescent="0.3">
      <c r="A55" s="193" t="s">
        <v>136</v>
      </c>
      <c r="B55" s="450">
        <v>3035</v>
      </c>
      <c r="C55" s="450">
        <v>18</v>
      </c>
      <c r="D55" s="450">
        <v>30</v>
      </c>
      <c r="E55" s="450">
        <v>98</v>
      </c>
      <c r="F55" s="450">
        <v>229</v>
      </c>
      <c r="G55" s="451">
        <f t="shared" si="4"/>
        <v>12.355848434925864</v>
      </c>
      <c r="H55" s="164"/>
      <c r="I55" s="170"/>
      <c r="J55" s="258"/>
      <c r="K55" s="258"/>
      <c r="L55" s="258"/>
      <c r="M55" s="258"/>
      <c r="N55" s="170"/>
      <c r="O55" s="170"/>
      <c r="P55" s="258"/>
      <c r="Q55" s="170"/>
      <c r="R55" s="170"/>
      <c r="S55" s="258"/>
    </row>
    <row r="56" spans="1:19" x14ac:dyDescent="0.3">
      <c r="A56" s="193" t="s">
        <v>139</v>
      </c>
      <c r="B56" s="450">
        <v>31</v>
      </c>
      <c r="C56" s="450">
        <v>0</v>
      </c>
      <c r="D56" s="450">
        <v>0</v>
      </c>
      <c r="E56" s="450">
        <v>0</v>
      </c>
      <c r="F56" s="450">
        <v>1</v>
      </c>
      <c r="G56" s="451">
        <f t="shared" si="4"/>
        <v>3.225806451612903</v>
      </c>
      <c r="H56" s="164"/>
      <c r="I56" s="170"/>
      <c r="J56" s="258"/>
      <c r="K56" s="258"/>
      <c r="L56" s="258"/>
      <c r="M56" s="258"/>
      <c r="N56" s="170"/>
      <c r="O56" s="170"/>
      <c r="P56" s="258"/>
      <c r="Q56" s="170"/>
      <c r="R56" s="170"/>
      <c r="S56" s="258"/>
    </row>
    <row r="57" spans="1:19" x14ac:dyDescent="0.3">
      <c r="A57" s="193" t="s">
        <v>140</v>
      </c>
      <c r="B57" s="450">
        <v>635</v>
      </c>
      <c r="C57" s="450">
        <v>4</v>
      </c>
      <c r="D57" s="450">
        <v>0</v>
      </c>
      <c r="E57" s="450">
        <v>13</v>
      </c>
      <c r="F57" s="450">
        <v>37</v>
      </c>
      <c r="G57" s="451">
        <f t="shared" si="4"/>
        <v>8.5039370078740149</v>
      </c>
      <c r="H57" s="164"/>
      <c r="I57" s="170"/>
      <c r="J57" s="258"/>
      <c r="K57" s="258"/>
      <c r="L57" s="258"/>
      <c r="M57" s="258"/>
      <c r="N57" s="170"/>
      <c r="O57" s="170"/>
      <c r="P57" s="258"/>
      <c r="Q57" s="170"/>
      <c r="R57" s="170"/>
      <c r="S57" s="258"/>
    </row>
    <row r="58" spans="1:19" x14ac:dyDescent="0.3">
      <c r="A58" s="193" t="s">
        <v>103</v>
      </c>
      <c r="B58" s="450">
        <v>2139</v>
      </c>
      <c r="C58" s="450">
        <v>20</v>
      </c>
      <c r="D58" s="450">
        <v>36</v>
      </c>
      <c r="E58" s="450">
        <v>96</v>
      </c>
      <c r="F58" s="450">
        <v>129</v>
      </c>
      <c r="G58" s="451">
        <f t="shared" si="4"/>
        <v>13.136979897148199</v>
      </c>
      <c r="H58" s="258"/>
      <c r="I58" s="170"/>
      <c r="J58" s="258"/>
      <c r="K58" s="258"/>
      <c r="L58" s="258"/>
      <c r="M58" s="258"/>
      <c r="N58" s="170"/>
      <c r="O58" s="170"/>
      <c r="P58" s="258"/>
      <c r="Q58" s="170"/>
      <c r="R58" s="170"/>
      <c r="S58" s="258"/>
    </row>
    <row r="59" spans="1:19" x14ac:dyDescent="0.3">
      <c r="A59" s="193" t="s">
        <v>140</v>
      </c>
      <c r="B59" s="450">
        <v>343</v>
      </c>
      <c r="C59" s="450">
        <v>2</v>
      </c>
      <c r="D59" s="450">
        <v>3</v>
      </c>
      <c r="E59" s="450">
        <v>7</v>
      </c>
      <c r="F59" s="450">
        <v>7</v>
      </c>
      <c r="G59" s="451">
        <f t="shared" si="4"/>
        <v>5.5393586005830908</v>
      </c>
      <c r="H59" s="164"/>
      <c r="I59" s="170"/>
      <c r="J59" s="258"/>
      <c r="K59" s="258"/>
      <c r="L59" s="258"/>
      <c r="M59" s="258"/>
      <c r="N59" s="170"/>
      <c r="O59" s="170"/>
      <c r="P59" s="258"/>
      <c r="Q59" s="170"/>
      <c r="R59" s="170"/>
      <c r="S59" s="258"/>
    </row>
    <row r="60" spans="1:19" x14ac:dyDescent="0.3">
      <c r="A60" s="193" t="s">
        <v>107</v>
      </c>
      <c r="B60" s="450">
        <v>3256</v>
      </c>
      <c r="C60" s="450">
        <v>37</v>
      </c>
      <c r="D60" s="450">
        <v>49</v>
      </c>
      <c r="E60" s="450">
        <v>149</v>
      </c>
      <c r="F60" s="450">
        <v>275</v>
      </c>
      <c r="G60" s="451">
        <f t="shared" si="4"/>
        <v>15.663390663390665</v>
      </c>
      <c r="H60" s="164"/>
      <c r="I60" s="170"/>
      <c r="J60" s="258"/>
      <c r="K60" s="258"/>
      <c r="L60" s="258"/>
      <c r="M60" s="258"/>
      <c r="N60" s="170"/>
      <c r="O60" s="170"/>
      <c r="P60" s="258"/>
      <c r="Q60" s="170"/>
      <c r="R60" s="170"/>
      <c r="S60" s="258"/>
    </row>
    <row r="61" spans="1:19" x14ac:dyDescent="0.3">
      <c r="A61" s="196" t="s">
        <v>86</v>
      </c>
      <c r="B61" s="452">
        <f>SUMIF($A$22:$A$60,"=OLYMPIC",B22:B60)</f>
        <v>5032</v>
      </c>
      <c r="C61" s="452">
        <f>SUMIF($A$22:$A$60,"=OLYMPIC",C22:C60)</f>
        <v>75</v>
      </c>
      <c r="D61" s="452">
        <f>SUMIF($A$22:$A$60,"=OLYMPIC",D22:D60)</f>
        <v>135</v>
      </c>
      <c r="E61" s="452">
        <f>SUMIF($A$22:$A$60,"=OLYMPIC",E22:E60)</f>
        <v>310</v>
      </c>
      <c r="F61" s="452">
        <f>SUMIF($A$22:$A$60,"=OLYMPIC",F22:F60)</f>
        <v>573</v>
      </c>
      <c r="G61" s="159">
        <v>0.217</v>
      </c>
      <c r="I61" s="258"/>
      <c r="J61" s="258"/>
      <c r="K61" s="258"/>
      <c r="L61" s="258"/>
      <c r="M61" s="170"/>
      <c r="N61" s="170"/>
      <c r="O61" s="258"/>
      <c r="P61" s="170"/>
      <c r="Q61" s="170"/>
      <c r="R61" s="258"/>
    </row>
    <row r="62" spans="1:19" x14ac:dyDescent="0.3">
      <c r="A62" s="197" t="s">
        <v>136</v>
      </c>
      <c r="B62" s="453">
        <f>SUMIF($A$22:$A$60,"=PACMTN",B22:B60)</f>
        <v>5710</v>
      </c>
      <c r="C62" s="453">
        <f>SUMIF($A$22:$A$60,"=PACMTN",C22:C60)</f>
        <v>34</v>
      </c>
      <c r="D62" s="453">
        <f>SUMIF($A$22:$A$60,"=PACMTN",D22:D60)</f>
        <v>69</v>
      </c>
      <c r="E62" s="453">
        <f>SUMIF($A$22:$A$60,"=PACMTN",E22:E60)</f>
        <v>224</v>
      </c>
      <c r="F62" s="453">
        <f>SUMIF($A$22:$A$60,"=PACMTN",F22:F60)</f>
        <v>530</v>
      </c>
      <c r="G62" s="159">
        <v>0.15</v>
      </c>
      <c r="I62" s="258"/>
      <c r="J62" s="258"/>
      <c r="K62" s="258"/>
      <c r="L62" s="258"/>
      <c r="M62" s="170"/>
      <c r="N62" s="170"/>
      <c r="O62" s="258"/>
      <c r="P62" s="170"/>
      <c r="Q62" s="170"/>
      <c r="R62" s="258"/>
    </row>
    <row r="63" spans="1:19" x14ac:dyDescent="0.3">
      <c r="A63" s="196" t="s">
        <v>103</v>
      </c>
      <c r="B63" s="453">
        <f>SUMIF($A$22:$A$60,"=NORTHWEST",B22:B60)</f>
        <v>4381</v>
      </c>
      <c r="C63" s="453">
        <f>SUMIF($A$22:$A$60,"=NORTHWEST",C22:C60)</f>
        <v>33</v>
      </c>
      <c r="D63" s="453">
        <f>SUMIF($A$22:$A$60,"=NORTHWEST",D22:D60)</f>
        <v>84</v>
      </c>
      <c r="E63" s="453">
        <f>SUMIF($A$22:$A$60,"=NORTHWEST",E22:E60)</f>
        <v>184</v>
      </c>
      <c r="F63" s="453">
        <f>SUMIF($A$22:$A$60,"=NORTHWEST",F22:F60)</f>
        <v>314</v>
      </c>
      <c r="G63" s="159">
        <v>0.14000000000000001</v>
      </c>
      <c r="I63" s="258"/>
      <c r="J63" s="258"/>
      <c r="K63" s="258"/>
      <c r="L63" s="258"/>
      <c r="M63" s="170"/>
      <c r="N63" s="170"/>
      <c r="O63" s="258"/>
      <c r="P63" s="170"/>
      <c r="Q63" s="170"/>
      <c r="R63" s="258"/>
    </row>
    <row r="64" spans="1:19" x14ac:dyDescent="0.3">
      <c r="A64" s="197" t="s">
        <v>106</v>
      </c>
      <c r="B64" s="453">
        <f>SUMIF($A$22:$A$60,"=SNOHOMISH",B22:B60)</f>
        <v>8546</v>
      </c>
      <c r="C64" s="453">
        <f>SUMIF($A$22:$A$60,"=SNOHOMISH",C22:C60)</f>
        <v>44</v>
      </c>
      <c r="D64" s="453">
        <f>SUMIF($A$22:$A$60,"=SNOHOMISH",D22:D60)</f>
        <v>86</v>
      </c>
      <c r="E64" s="453">
        <f>SUMIF($A$22:$A$60,"=SNOHOMISH",E22:E60)</f>
        <v>252</v>
      </c>
      <c r="F64" s="453">
        <f>SUMIF($A$22:$A$60,"=SNOHOMISH",F22:F60)</f>
        <v>694</v>
      </c>
      <c r="G64" s="159">
        <v>0.126</v>
      </c>
      <c r="I64" s="258"/>
      <c r="J64" s="258"/>
      <c r="K64" s="258"/>
      <c r="L64" s="258"/>
      <c r="M64" s="170"/>
      <c r="N64" s="170"/>
      <c r="O64" s="258"/>
      <c r="P64" s="170"/>
      <c r="Q64" s="170"/>
      <c r="R64" s="258"/>
    </row>
    <row r="65" spans="1:22" x14ac:dyDescent="0.3">
      <c r="A65" s="196" t="s">
        <v>137</v>
      </c>
      <c r="B65" s="453">
        <f>SUMIF($A$22:$A$60,"=KING",B22:B60)</f>
        <v>18950</v>
      </c>
      <c r="C65" s="453">
        <f>SUMIF($A$22:$A$60,"=KING",C22:C60)</f>
        <v>161</v>
      </c>
      <c r="D65" s="453">
        <f>SUMIF($A$22:$A$60,"=KING",D22:D60)</f>
        <v>281</v>
      </c>
      <c r="E65" s="453">
        <f>SUMIF($A$22:$A$60,"=KING",E22:E60)</f>
        <v>491</v>
      </c>
      <c r="F65" s="453">
        <f>SUMIF($A$22:$A$60,"=KING",F22:F60)</f>
        <v>1151</v>
      </c>
      <c r="G65" s="159">
        <v>0.11</v>
      </c>
      <c r="I65" s="258"/>
      <c r="J65" s="258"/>
      <c r="K65" s="258"/>
      <c r="L65" s="258"/>
      <c r="M65" s="170"/>
      <c r="N65" s="170"/>
      <c r="O65" s="258"/>
      <c r="P65" s="170"/>
      <c r="Q65" s="170"/>
      <c r="R65" s="258"/>
    </row>
    <row r="66" spans="1:22" x14ac:dyDescent="0.3">
      <c r="A66" s="197" t="s">
        <v>138</v>
      </c>
      <c r="B66" s="453">
        <f>SUMIF($A$22:$A$60,"=PIERCE",B22:B60)</f>
        <v>9156</v>
      </c>
      <c r="C66" s="453">
        <f>SUMIF($A$22:$A$60,"=PIERCE",C22:C60)</f>
        <v>81</v>
      </c>
      <c r="D66" s="453">
        <f>SUMIF($A$22:$A$60,"=PIERCE",D22:D60)</f>
        <v>167</v>
      </c>
      <c r="E66" s="453">
        <f>SUMIF($A$22:$A$60,"=PIERCE",E22:E60)</f>
        <v>355</v>
      </c>
      <c r="F66" s="453">
        <f>SUMIF($A$22:$A$60,"=PIERCE",F22:F60)</f>
        <v>904</v>
      </c>
      <c r="G66" s="159">
        <v>0.16500000000000001</v>
      </c>
      <c r="I66" s="258"/>
      <c r="J66" s="258"/>
      <c r="K66" s="258"/>
      <c r="L66" s="258"/>
      <c r="M66" s="170"/>
      <c r="N66" s="170"/>
      <c r="O66" s="258"/>
      <c r="P66" s="170"/>
      <c r="Q66" s="170"/>
      <c r="R66" s="258"/>
    </row>
    <row r="67" spans="1:22" x14ac:dyDescent="0.3">
      <c r="A67" s="196" t="s">
        <v>139</v>
      </c>
      <c r="B67" s="453">
        <f>SUMIF($A$22:$A$60,"=SOUTHWEST",B22:B60)</f>
        <v>6822</v>
      </c>
      <c r="C67" s="453">
        <f>SUMIF($A$22:$A$60,"=SOUTHWEST",C22:C60)</f>
        <v>42</v>
      </c>
      <c r="D67" s="453">
        <f>SUMIF($A$22:$A$60,"=SOUTHWEST",D22:D60)</f>
        <v>106</v>
      </c>
      <c r="E67" s="453">
        <f>SUMIF($A$22:$A$60,"=SOUTHWEST",E22:E60)</f>
        <v>202</v>
      </c>
      <c r="F67" s="453">
        <f>SUMIF($A$22:$A$60,"=SOUTHWEST",F22:F60)</f>
        <v>576</v>
      </c>
      <c r="G67" s="159">
        <v>0.13600000000000001</v>
      </c>
      <c r="I67" s="258"/>
      <c r="J67" s="258"/>
      <c r="K67" s="258"/>
      <c r="L67" s="258"/>
      <c r="M67" s="170"/>
      <c r="N67" s="170"/>
      <c r="O67" s="258"/>
      <c r="P67" s="170"/>
      <c r="Q67" s="170"/>
      <c r="R67" s="258"/>
    </row>
    <row r="68" spans="1:22" x14ac:dyDescent="0.3">
      <c r="A68" s="197" t="s">
        <v>102</v>
      </c>
      <c r="B68" s="453">
        <f>SUMIF($A$22:$A$60,"=NORTH CENTRAL",B22:B60)</f>
        <v>3486</v>
      </c>
      <c r="C68" s="453">
        <f>SUMIF($A$22:$A$60,"=NORTH CENTRAL",C22:C60)</f>
        <v>41</v>
      </c>
      <c r="D68" s="453">
        <f>SUMIF($A$22:$A$60,"=NORTH CENTRAL",D22:D60)</f>
        <v>53</v>
      </c>
      <c r="E68" s="453">
        <f>SUMIF($A$22:$A$60,"=NORTH CENTRAL",E22:E60)</f>
        <v>134</v>
      </c>
      <c r="F68" s="453">
        <f>SUMIF($A$22:$A$60,"=NORTH CENTRAL",F22:F60)</f>
        <v>298</v>
      </c>
      <c r="G68" s="159">
        <v>0.151</v>
      </c>
      <c r="I68" s="258"/>
      <c r="J68" s="258"/>
      <c r="K68" s="258"/>
      <c r="L68" s="258"/>
      <c r="M68" s="170"/>
      <c r="N68" s="170"/>
      <c r="O68" s="258"/>
      <c r="P68" s="170"/>
      <c r="Q68" s="170"/>
      <c r="R68" s="258"/>
    </row>
    <row r="69" spans="1:22" x14ac:dyDescent="0.3">
      <c r="A69" s="196" t="s">
        <v>107</v>
      </c>
      <c r="B69" s="453">
        <f>SUMIF($A$22:$A$60,"=SOUTH CENTRAL",B22:B60)</f>
        <v>4113</v>
      </c>
      <c r="C69" s="453">
        <f>SUMIF($A$22:$A$60,"=SOUTH CENTRAL",C22:C60)</f>
        <v>47</v>
      </c>
      <c r="D69" s="453">
        <f>SUMIF($A$22:$A$60,"=SOUTH CENTRAL",D22:D60)</f>
        <v>82</v>
      </c>
      <c r="E69" s="453">
        <f>SUMIF($A$22:$A$60,"=SOUTH CENTRAL",E22:E60)</f>
        <v>217</v>
      </c>
      <c r="F69" s="453">
        <f>SUMIF($A$22:$A$60,"=SOUTH CENTRAL",F22:F60)</f>
        <v>373</v>
      </c>
      <c r="G69" s="159">
        <v>0.17499999999999999</v>
      </c>
      <c r="I69" s="258"/>
      <c r="J69" s="258"/>
      <c r="K69" s="258"/>
      <c r="L69" s="258"/>
      <c r="M69" s="170"/>
      <c r="N69" s="170"/>
      <c r="O69" s="258"/>
      <c r="P69" s="170"/>
      <c r="Q69" s="170"/>
      <c r="R69" s="258"/>
    </row>
    <row r="70" spans="1:22" x14ac:dyDescent="0.3">
      <c r="A70" s="197" t="s">
        <v>140</v>
      </c>
      <c r="B70" s="453">
        <f>SUMIF($A$22:$A$60,"=EASTERN",B22:B60)</f>
        <v>2361</v>
      </c>
      <c r="C70" s="453">
        <f>SUMIF($A$22:$A$60,"=EASTERN",C22:C60)</f>
        <v>16</v>
      </c>
      <c r="D70" s="453">
        <f>SUMIF($A$22:$A$60,"=EASTERN",D22:D60)</f>
        <v>20</v>
      </c>
      <c r="E70" s="453">
        <f>SUMIF($A$22:$A$60,"=EASTERN",E22:E60)</f>
        <v>72</v>
      </c>
      <c r="F70" s="453">
        <f>SUMIF($A$22:$A$60,"=EASTERN",F22:F60)</f>
        <v>168</v>
      </c>
      <c r="G70" s="159">
        <v>0.11700000000000001</v>
      </c>
      <c r="I70" s="258"/>
      <c r="J70" s="258"/>
      <c r="K70" s="258"/>
      <c r="L70" s="258"/>
      <c r="M70" s="170"/>
      <c r="N70" s="170"/>
      <c r="O70" s="258"/>
      <c r="P70" s="170"/>
      <c r="Q70" s="170"/>
      <c r="R70" s="258"/>
    </row>
    <row r="71" spans="1:22" x14ac:dyDescent="0.3">
      <c r="A71" s="196" t="s">
        <v>141</v>
      </c>
      <c r="B71" s="453">
        <f>SUMIF($A$22:$A$60,"=BENTON-FRANKLIN",B22:B60)</f>
        <v>3569</v>
      </c>
      <c r="C71" s="453">
        <f>SUMIF($A$22:$A$60,"=BENTON-FRANKLIN",C22:C60)</f>
        <v>42</v>
      </c>
      <c r="D71" s="453">
        <f>SUMIF($A$22:$A$60,"=BENTON-FRANKLIN",D22:D60)</f>
        <v>55</v>
      </c>
      <c r="E71" s="453">
        <f>SUMIF($A$22:$A$60,"=BENTON-FRANKLIN",E22:E60)</f>
        <v>151</v>
      </c>
      <c r="F71" s="453">
        <f>SUMIF($A$22:$A$60,"=BENTON-FRANKLIN",F22:F60)</f>
        <v>231</v>
      </c>
      <c r="G71" s="159">
        <v>0.13400000000000001</v>
      </c>
      <c r="I71" s="258"/>
      <c r="J71" s="258"/>
      <c r="K71" s="258"/>
      <c r="L71" s="258"/>
      <c r="M71" s="170"/>
      <c r="N71" s="170"/>
      <c r="O71" s="258"/>
      <c r="P71" s="170"/>
      <c r="Q71" s="170"/>
      <c r="R71" s="258"/>
    </row>
    <row r="72" spans="1:22" x14ac:dyDescent="0.3">
      <c r="A72" s="197" t="s">
        <v>109</v>
      </c>
      <c r="B72" s="453">
        <f>SUMIF($A$22:$A$60,"=SPOKANE",B22:B60)</f>
        <v>5838</v>
      </c>
      <c r="C72" s="453">
        <f>SUMIF($A$22:$A$60,"=SPOKANE",C22:C60)</f>
        <v>49</v>
      </c>
      <c r="D72" s="453">
        <f>SUMIF($A$22:$A$60,"=SPOKANE",D22:D60)</f>
        <v>98</v>
      </c>
      <c r="E72" s="453">
        <f>SUMIF($A$22:$A$60,"=SPOKANE",E22:E60)</f>
        <v>192</v>
      </c>
      <c r="F72" s="453">
        <f>SUMIF($A$22:$A$60,"=SPOKANE",F22:F60)</f>
        <v>366</v>
      </c>
      <c r="G72" s="159">
        <v>0.121</v>
      </c>
      <c r="I72" s="258"/>
      <c r="J72" s="258"/>
      <c r="K72" s="258"/>
      <c r="L72" s="258"/>
      <c r="M72" s="170"/>
      <c r="N72" s="170"/>
      <c r="O72" s="258"/>
      <c r="P72" s="170"/>
      <c r="Q72" s="170"/>
      <c r="R72" s="258"/>
    </row>
    <row r="73" spans="1:22" x14ac:dyDescent="0.3">
      <c r="A73" s="454" t="s">
        <v>111</v>
      </c>
      <c r="B73" s="453">
        <f>SUM(B61:B72)</f>
        <v>77964</v>
      </c>
      <c r="C73" s="453">
        <f>SUM(C61:C72)</f>
        <v>665</v>
      </c>
      <c r="D73" s="453">
        <f>SUM(D61:D72)</f>
        <v>1236</v>
      </c>
      <c r="E73" s="453">
        <f>SUM(E61:E72)</f>
        <v>2784</v>
      </c>
      <c r="F73" s="453">
        <f>SUM(F61:F72)</f>
        <v>6178</v>
      </c>
      <c r="G73" s="124">
        <v>0.13900000000000001</v>
      </c>
      <c r="I73" s="170"/>
      <c r="J73" s="258"/>
      <c r="K73" s="258"/>
      <c r="L73" s="258"/>
      <c r="M73" s="258"/>
      <c r="N73" s="170"/>
      <c r="O73" s="170"/>
      <c r="P73" s="258"/>
      <c r="Q73" s="170"/>
      <c r="R73" s="170"/>
      <c r="S73" s="258"/>
    </row>
    <row r="74" spans="1:22" x14ac:dyDescent="0.3">
      <c r="A74" s="455"/>
      <c r="B74" s="450"/>
      <c r="C74" s="450"/>
      <c r="D74" s="450"/>
      <c r="E74" s="450"/>
      <c r="F74" s="450"/>
      <c r="G74" s="451"/>
      <c r="H74" s="164"/>
      <c r="I74" s="170"/>
      <c r="J74" s="258"/>
      <c r="K74" s="258"/>
      <c r="L74" s="258"/>
      <c r="M74" s="258"/>
      <c r="N74" s="170"/>
      <c r="O74" s="170"/>
      <c r="P74" s="258"/>
      <c r="Q74" s="170"/>
      <c r="R74" s="170"/>
      <c r="S74" s="258"/>
    </row>
    <row r="75" spans="1:22" x14ac:dyDescent="0.3">
      <c r="A75" s="455"/>
      <c r="B75" s="450"/>
      <c r="C75" s="450"/>
      <c r="D75" s="450"/>
      <c r="E75" s="450"/>
      <c r="F75" s="450"/>
      <c r="G75" s="451"/>
      <c r="H75" s="164"/>
      <c r="I75" s="170"/>
      <c r="J75" s="258"/>
      <c r="K75" s="258"/>
      <c r="L75" s="258"/>
      <c r="M75" s="258"/>
      <c r="N75" s="170"/>
      <c r="O75" s="170"/>
      <c r="P75" s="258"/>
      <c r="Q75" s="170"/>
      <c r="R75" s="170"/>
      <c r="S75" s="258"/>
    </row>
    <row r="76" spans="1:22" x14ac:dyDescent="0.3">
      <c r="A76" s="155" t="s">
        <v>692</v>
      </c>
      <c r="K76" s="164"/>
      <c r="L76" s="170"/>
      <c r="M76" s="258"/>
      <c r="N76" s="258"/>
      <c r="O76" s="258"/>
      <c r="P76" s="258"/>
      <c r="Q76" s="170"/>
      <c r="R76" s="170"/>
      <c r="S76" s="258"/>
      <c r="T76" s="170"/>
      <c r="U76" s="170"/>
      <c r="V76" s="258"/>
    </row>
    <row r="78" spans="1:22" x14ac:dyDescent="0.3">
      <c r="B78" s="155" t="s">
        <v>633</v>
      </c>
      <c r="C78" s="155" t="s">
        <v>634</v>
      </c>
      <c r="D78" s="155" t="s">
        <v>635</v>
      </c>
      <c r="E78" s="155" t="s">
        <v>636</v>
      </c>
      <c r="F78" s="155" t="s">
        <v>637</v>
      </c>
      <c r="G78" s="155" t="s">
        <v>638</v>
      </c>
      <c r="H78" s="155" t="s">
        <v>639</v>
      </c>
      <c r="I78" s="155" t="s">
        <v>640</v>
      </c>
    </row>
    <row r="79" spans="1:22" x14ac:dyDescent="0.3">
      <c r="A79" s="6" t="s">
        <v>641</v>
      </c>
    </row>
    <row r="80" spans="1:22" x14ac:dyDescent="0.3">
      <c r="A80" s="5" t="s">
        <v>135</v>
      </c>
      <c r="B80" s="456">
        <v>3527536.6666666665</v>
      </c>
      <c r="C80" s="456">
        <v>3519713.3333333335</v>
      </c>
      <c r="D80" s="456">
        <v>3504433.3333333335</v>
      </c>
      <c r="E80" s="456">
        <v>3480916.6666666665</v>
      </c>
      <c r="F80" s="456">
        <v>3477893.3333333335</v>
      </c>
      <c r="G80" s="456">
        <v>3490703.3333333335</v>
      </c>
      <c r="H80" s="456">
        <v>3489753.3333333335</v>
      </c>
      <c r="I80" s="456">
        <v>3493023.3333333335</v>
      </c>
    </row>
    <row r="81" spans="1:9" x14ac:dyDescent="0.3">
      <c r="A81" s="457">
        <v>1</v>
      </c>
      <c r="B81" s="456">
        <v>167830</v>
      </c>
      <c r="C81" s="456">
        <v>165833.33333333331</v>
      </c>
      <c r="D81" s="456">
        <v>166596.66666666669</v>
      </c>
      <c r="E81" s="456">
        <v>165380</v>
      </c>
      <c r="F81" s="456">
        <v>164320</v>
      </c>
      <c r="G81" s="456">
        <v>163296.66666666666</v>
      </c>
      <c r="H81" s="456">
        <v>164340</v>
      </c>
      <c r="I81" s="456">
        <v>166053.33333333334</v>
      </c>
    </row>
    <row r="82" spans="1:9" x14ac:dyDescent="0.3">
      <c r="A82" s="457">
        <v>2</v>
      </c>
      <c r="B82" s="456">
        <v>227966.66666666669</v>
      </c>
      <c r="C82" s="456">
        <v>224670</v>
      </c>
      <c r="D82" s="456">
        <v>226383.33333333334</v>
      </c>
      <c r="E82" s="456">
        <v>224486.66666666666</v>
      </c>
      <c r="F82" s="456">
        <v>222440</v>
      </c>
      <c r="G82" s="456">
        <v>219786.66666666669</v>
      </c>
      <c r="H82" s="456">
        <v>224663.33333333334</v>
      </c>
      <c r="I82" s="456">
        <v>226033.33333333334</v>
      </c>
    </row>
    <row r="83" spans="1:9" x14ac:dyDescent="0.3">
      <c r="A83" s="457">
        <v>3</v>
      </c>
      <c r="B83" s="456">
        <v>206763.33333333331</v>
      </c>
      <c r="C83" s="456">
        <v>205820</v>
      </c>
      <c r="D83" s="456">
        <v>203816.66666666666</v>
      </c>
      <c r="E83" s="456">
        <v>202796.66666666666</v>
      </c>
      <c r="F83" s="456">
        <v>203200</v>
      </c>
      <c r="G83" s="456">
        <v>203096.66666666669</v>
      </c>
      <c r="H83" s="456">
        <v>202633.33333333334</v>
      </c>
      <c r="I83" s="456">
        <v>203873.33333333331</v>
      </c>
    </row>
    <row r="84" spans="1:9" x14ac:dyDescent="0.3">
      <c r="A84" s="457">
        <v>4</v>
      </c>
      <c r="B84" s="456">
        <v>388933.33333333331</v>
      </c>
      <c r="C84" s="456">
        <v>385803.33333333331</v>
      </c>
      <c r="D84" s="456">
        <v>385046.66666666669</v>
      </c>
      <c r="E84" s="456">
        <v>385796.66666666669</v>
      </c>
      <c r="F84" s="456">
        <v>384733.33333333331</v>
      </c>
      <c r="G84" s="456">
        <v>385713.33333333331</v>
      </c>
      <c r="H84" s="456">
        <v>385250</v>
      </c>
      <c r="I84" s="456">
        <v>385890</v>
      </c>
    </row>
    <row r="85" spans="1:9" x14ac:dyDescent="0.3">
      <c r="A85" s="457">
        <v>5</v>
      </c>
      <c r="B85" s="456">
        <v>1112026.6666666667</v>
      </c>
      <c r="C85" s="456">
        <v>1105436.6666666667</v>
      </c>
      <c r="D85" s="456">
        <v>1102600</v>
      </c>
      <c r="E85" s="456">
        <v>1101156.6666666667</v>
      </c>
      <c r="F85" s="456">
        <v>1102906.6666666667</v>
      </c>
      <c r="G85" s="456">
        <v>1109133.3333333333</v>
      </c>
      <c r="H85" s="456">
        <v>1108993.3333333333</v>
      </c>
      <c r="I85" s="456">
        <v>1105773.3333333333</v>
      </c>
    </row>
    <row r="86" spans="1:9" x14ac:dyDescent="0.3">
      <c r="A86" s="457">
        <v>6</v>
      </c>
      <c r="B86" s="456">
        <v>393223.33333333331</v>
      </c>
      <c r="C86" s="456">
        <v>387333.33333333331</v>
      </c>
      <c r="D86" s="456">
        <v>392636.66666666669</v>
      </c>
      <c r="E86" s="456">
        <v>391370</v>
      </c>
      <c r="F86" s="456">
        <v>386866.66666666669</v>
      </c>
      <c r="G86" s="456">
        <v>380103.33333333331</v>
      </c>
      <c r="H86" s="456">
        <v>390633.33333333331</v>
      </c>
      <c r="I86" s="456">
        <v>395976.66666666669</v>
      </c>
    </row>
    <row r="87" spans="1:9" x14ac:dyDescent="0.3">
      <c r="A87" s="457">
        <v>7</v>
      </c>
      <c r="B87" s="456">
        <v>263356.66666666663</v>
      </c>
      <c r="C87" s="456">
        <v>260483.33333333334</v>
      </c>
      <c r="D87" s="456">
        <v>264593.33333333331</v>
      </c>
      <c r="E87" s="456">
        <v>262100</v>
      </c>
      <c r="F87" s="456">
        <v>259546.66666666666</v>
      </c>
      <c r="G87" s="456">
        <v>255333.33333333334</v>
      </c>
      <c r="H87" s="456">
        <v>258693.33333333331</v>
      </c>
      <c r="I87" s="456">
        <v>259313.33333333334</v>
      </c>
    </row>
    <row r="88" spans="1:9" x14ac:dyDescent="0.3">
      <c r="A88" s="457">
        <v>8</v>
      </c>
      <c r="B88" s="456">
        <v>134623.33333333331</v>
      </c>
      <c r="C88" s="456">
        <v>148243.33333333334</v>
      </c>
      <c r="D88" s="456">
        <v>131496.66666666669</v>
      </c>
      <c r="E88" s="456">
        <v>125246.66666666667</v>
      </c>
      <c r="F88" s="456">
        <v>130089.99999999999</v>
      </c>
      <c r="G88" s="456">
        <v>148123.33333333331</v>
      </c>
      <c r="H88" s="456">
        <v>131623.33333333334</v>
      </c>
      <c r="I88" s="456">
        <v>127779.99999999999</v>
      </c>
    </row>
    <row r="89" spans="1:9" x14ac:dyDescent="0.3">
      <c r="A89" s="457">
        <v>9</v>
      </c>
      <c r="B89" s="456">
        <v>162923.33333333331</v>
      </c>
      <c r="C89" s="456">
        <v>169626.66666666666</v>
      </c>
      <c r="D89" s="456">
        <v>161563.33333333334</v>
      </c>
      <c r="E89" s="456">
        <v>157620</v>
      </c>
      <c r="F89" s="456">
        <v>160240</v>
      </c>
      <c r="G89" s="456">
        <v>169516.66666666666</v>
      </c>
      <c r="H89" s="456">
        <v>159776.66666666666</v>
      </c>
      <c r="I89" s="456">
        <v>158606.66666666666</v>
      </c>
    </row>
    <row r="90" spans="1:9" x14ac:dyDescent="0.3">
      <c r="A90" s="457">
        <v>10</v>
      </c>
      <c r="B90" s="456">
        <v>98366.666666666672</v>
      </c>
      <c r="C90" s="456">
        <v>97916.666666666657</v>
      </c>
      <c r="D90" s="456">
        <v>98080</v>
      </c>
      <c r="E90" s="456">
        <v>97216.666666666672</v>
      </c>
      <c r="F90" s="456">
        <v>96200</v>
      </c>
      <c r="G90" s="456">
        <v>95426.666666666672</v>
      </c>
      <c r="H90" s="456">
        <v>97086.666666666657</v>
      </c>
      <c r="I90" s="456">
        <v>97663.333333333343</v>
      </c>
    </row>
    <row r="91" spans="1:9" x14ac:dyDescent="0.3">
      <c r="A91" s="457">
        <v>11</v>
      </c>
      <c r="B91" s="456">
        <v>134910</v>
      </c>
      <c r="C91" s="456">
        <v>137550</v>
      </c>
      <c r="D91" s="456">
        <v>134783.33333333334</v>
      </c>
      <c r="E91" s="456">
        <v>132573.33333333331</v>
      </c>
      <c r="F91" s="456">
        <v>134890</v>
      </c>
      <c r="G91" s="456">
        <v>137023.33333333334</v>
      </c>
      <c r="H91" s="456">
        <v>134033.33333333331</v>
      </c>
      <c r="I91" s="456">
        <v>132686.66666666666</v>
      </c>
    </row>
    <row r="92" spans="1:9" x14ac:dyDescent="0.3">
      <c r="A92" s="457">
        <v>12</v>
      </c>
      <c r="B92" s="456">
        <v>236660</v>
      </c>
      <c r="C92" s="456">
        <v>231043.33333333334</v>
      </c>
      <c r="D92" s="456">
        <v>236846.66666666666</v>
      </c>
      <c r="E92" s="456">
        <v>235206.66666666666</v>
      </c>
      <c r="F92" s="456">
        <v>232496.66666666666</v>
      </c>
      <c r="G92" s="456">
        <v>224176.66666666666</v>
      </c>
      <c r="H92" s="456">
        <v>232060</v>
      </c>
      <c r="I92" s="456">
        <v>233410</v>
      </c>
    </row>
    <row r="93" spans="1:9" x14ac:dyDescent="0.3">
      <c r="B93" s="456"/>
      <c r="C93" s="456"/>
      <c r="D93" s="456"/>
      <c r="E93" s="456"/>
      <c r="F93" s="456"/>
      <c r="G93" s="456"/>
      <c r="H93" s="456"/>
      <c r="I93" s="456"/>
    </row>
    <row r="94" spans="1:9" x14ac:dyDescent="0.3">
      <c r="A94" s="458" t="s">
        <v>642</v>
      </c>
      <c r="B94" s="456"/>
      <c r="C94" s="456"/>
      <c r="D94" s="456"/>
      <c r="E94" s="456"/>
      <c r="F94" s="456"/>
      <c r="G94" s="456"/>
      <c r="H94" s="456"/>
      <c r="I94" s="456"/>
    </row>
    <row r="95" spans="1:9" x14ac:dyDescent="0.3">
      <c r="A95" s="5" t="s">
        <v>135</v>
      </c>
      <c r="B95" s="456">
        <v>3184283.3333333335</v>
      </c>
      <c r="C95" s="456">
        <v>3187406.6666666665</v>
      </c>
      <c r="D95" s="456">
        <v>3171083.3333333335</v>
      </c>
      <c r="E95" s="456">
        <v>3127093.3333333335</v>
      </c>
      <c r="F95" s="456">
        <v>3158163.3333333335</v>
      </c>
      <c r="G95" s="456">
        <v>3181750</v>
      </c>
      <c r="H95" s="456">
        <v>3194390</v>
      </c>
      <c r="I95" s="456">
        <v>3179083.3333333335</v>
      </c>
    </row>
    <row r="96" spans="1:9" x14ac:dyDescent="0.3">
      <c r="A96" s="457">
        <v>1</v>
      </c>
      <c r="B96" s="456">
        <v>153346.66666666669</v>
      </c>
      <c r="C96" s="456">
        <v>152036.66666666669</v>
      </c>
      <c r="D96" s="456">
        <v>152843.33333333331</v>
      </c>
      <c r="E96" s="456">
        <v>149893.33333333331</v>
      </c>
      <c r="F96" s="456">
        <v>150370</v>
      </c>
      <c r="G96" s="456">
        <v>149936.66666666669</v>
      </c>
      <c r="H96" s="456">
        <v>151226.66666666669</v>
      </c>
      <c r="I96" s="456">
        <v>151566.66666666669</v>
      </c>
    </row>
    <row r="97" spans="1:9" x14ac:dyDescent="0.3">
      <c r="A97" s="457">
        <v>2</v>
      </c>
      <c r="B97" s="456">
        <v>204480</v>
      </c>
      <c r="C97" s="456">
        <v>202706.66666666669</v>
      </c>
      <c r="D97" s="456">
        <v>204200</v>
      </c>
      <c r="E97" s="456">
        <v>199583.33333333331</v>
      </c>
      <c r="F97" s="456">
        <v>200070</v>
      </c>
      <c r="G97" s="456">
        <v>198256.66666666669</v>
      </c>
      <c r="H97" s="456">
        <v>203223.33333333331</v>
      </c>
      <c r="I97" s="456">
        <v>202763.33333333331</v>
      </c>
    </row>
    <row r="98" spans="1:9" x14ac:dyDescent="0.3">
      <c r="A98" s="457">
        <v>3</v>
      </c>
      <c r="B98" s="456">
        <v>187643.33333333331</v>
      </c>
      <c r="C98" s="456">
        <v>187773.33333333334</v>
      </c>
      <c r="D98" s="456">
        <v>185626.66666666669</v>
      </c>
      <c r="E98" s="456">
        <v>182253.33333333334</v>
      </c>
      <c r="F98" s="456">
        <v>185306.66666666666</v>
      </c>
      <c r="G98" s="456">
        <v>185830</v>
      </c>
      <c r="H98" s="456">
        <v>186013.33333333334</v>
      </c>
      <c r="I98" s="456">
        <v>185593.33333333331</v>
      </c>
    </row>
    <row r="99" spans="1:9" x14ac:dyDescent="0.3">
      <c r="A99" s="457">
        <v>4</v>
      </c>
      <c r="B99" s="456">
        <v>348630</v>
      </c>
      <c r="C99" s="456">
        <v>345893.33333333331</v>
      </c>
      <c r="D99" s="456">
        <v>345053.33333333331</v>
      </c>
      <c r="E99" s="456">
        <v>345926.66666666669</v>
      </c>
      <c r="F99" s="456">
        <v>348540</v>
      </c>
      <c r="G99" s="456">
        <v>350973.33333333331</v>
      </c>
      <c r="H99" s="456">
        <v>353120</v>
      </c>
      <c r="I99" s="456">
        <v>352360</v>
      </c>
    </row>
    <row r="100" spans="1:9" x14ac:dyDescent="0.3">
      <c r="A100" s="457">
        <v>5</v>
      </c>
      <c r="B100" s="456">
        <v>1013030</v>
      </c>
      <c r="C100" s="456">
        <v>1005083.3333333334</v>
      </c>
      <c r="D100" s="456">
        <v>1002643.3333333334</v>
      </c>
      <c r="E100" s="456">
        <v>1005176.6666666666</v>
      </c>
      <c r="F100" s="456">
        <v>1012766.6666666666</v>
      </c>
      <c r="G100" s="456">
        <v>1019840</v>
      </c>
      <c r="H100" s="456">
        <v>1026086.6666666666</v>
      </c>
      <c r="I100" s="456">
        <v>1023863.3333333334</v>
      </c>
    </row>
    <row r="101" spans="1:9" x14ac:dyDescent="0.3">
      <c r="A101" s="457">
        <v>6</v>
      </c>
      <c r="B101" s="456">
        <v>353173.33333333331</v>
      </c>
      <c r="C101" s="456">
        <v>349586.66666666669</v>
      </c>
      <c r="D101" s="456">
        <v>355226.66666666669</v>
      </c>
      <c r="E101" s="456">
        <v>349716.66666666669</v>
      </c>
      <c r="F101" s="456">
        <v>348773.33333333331</v>
      </c>
      <c r="G101" s="456">
        <v>343473.33333333331</v>
      </c>
      <c r="H101" s="456">
        <v>355270</v>
      </c>
      <c r="I101" s="456">
        <v>358173.33333333331</v>
      </c>
    </row>
    <row r="102" spans="1:9" x14ac:dyDescent="0.3">
      <c r="A102" s="457">
        <v>7</v>
      </c>
      <c r="B102" s="456">
        <v>227130</v>
      </c>
      <c r="C102" s="456">
        <v>225846.66666666666</v>
      </c>
      <c r="D102" s="456">
        <v>230336.66666666666</v>
      </c>
      <c r="E102" s="456">
        <v>226683.33333333334</v>
      </c>
      <c r="F102" s="456">
        <v>226390.00000000003</v>
      </c>
      <c r="G102" s="456">
        <v>223733.33333333334</v>
      </c>
      <c r="H102" s="456">
        <v>230663.33333333334</v>
      </c>
      <c r="I102" s="456">
        <v>231476.66666666669</v>
      </c>
    </row>
    <row r="103" spans="1:9" x14ac:dyDescent="0.3">
      <c r="A103" s="457">
        <v>8</v>
      </c>
      <c r="B103" s="456">
        <v>121856.66666666667</v>
      </c>
      <c r="C103" s="456">
        <v>136560</v>
      </c>
      <c r="D103" s="456">
        <v>119053.33333333333</v>
      </c>
      <c r="E103" s="456">
        <v>110546.66666666667</v>
      </c>
      <c r="F103" s="456">
        <v>118073.33333333333</v>
      </c>
      <c r="G103" s="456">
        <v>137086.66666666669</v>
      </c>
      <c r="H103" s="456">
        <v>120156.66666666666</v>
      </c>
      <c r="I103" s="456">
        <v>114066.66666666666</v>
      </c>
    </row>
    <row r="104" spans="1:9" x14ac:dyDescent="0.3">
      <c r="A104" s="457">
        <v>9</v>
      </c>
      <c r="B104" s="456">
        <v>146760</v>
      </c>
      <c r="C104" s="456">
        <v>154530</v>
      </c>
      <c r="D104" s="456">
        <v>146106.66666666666</v>
      </c>
      <c r="E104" s="456">
        <v>139293.33333333334</v>
      </c>
      <c r="F104" s="456">
        <v>144190</v>
      </c>
      <c r="G104" s="456">
        <v>154333.33333333334</v>
      </c>
      <c r="H104" s="456">
        <v>144516.66666666666</v>
      </c>
      <c r="I104" s="456">
        <v>140590</v>
      </c>
    </row>
    <row r="105" spans="1:9" x14ac:dyDescent="0.3">
      <c r="A105" s="457">
        <v>10</v>
      </c>
      <c r="B105" s="456">
        <v>89356.666666666657</v>
      </c>
      <c r="C105" s="456">
        <v>89556.666666666672</v>
      </c>
      <c r="D105" s="456">
        <v>89823.333333333328</v>
      </c>
      <c r="E105" s="456">
        <v>87196.666666666672</v>
      </c>
      <c r="F105" s="456">
        <v>87636.666666666672</v>
      </c>
      <c r="G105" s="456">
        <v>87273.333333333343</v>
      </c>
      <c r="H105" s="456">
        <v>89370</v>
      </c>
      <c r="I105" s="456">
        <v>88436.666666666672</v>
      </c>
    </row>
    <row r="106" spans="1:9" x14ac:dyDescent="0.3">
      <c r="A106" s="457">
        <v>11</v>
      </c>
      <c r="B106" s="456">
        <v>124936.66666666666</v>
      </c>
      <c r="C106" s="456">
        <v>128026.66666666666</v>
      </c>
      <c r="D106" s="456">
        <v>124860</v>
      </c>
      <c r="E106" s="456">
        <v>121066.66666666666</v>
      </c>
      <c r="F106" s="456">
        <v>124923.33333333333</v>
      </c>
      <c r="G106" s="456">
        <v>127306.66666666666</v>
      </c>
      <c r="H106" s="456">
        <v>122623.33333333334</v>
      </c>
      <c r="I106" s="456">
        <v>119710</v>
      </c>
    </row>
    <row r="107" spans="1:9" x14ac:dyDescent="0.3">
      <c r="A107" s="457">
        <v>12</v>
      </c>
      <c r="B107" s="456">
        <v>213960</v>
      </c>
      <c r="C107" s="456">
        <v>209826.66666666666</v>
      </c>
      <c r="D107" s="456">
        <v>215320</v>
      </c>
      <c r="E107" s="456">
        <v>209773.33333333334</v>
      </c>
      <c r="F107" s="456">
        <v>211153.33333333334</v>
      </c>
      <c r="G107" s="456">
        <v>203730</v>
      </c>
      <c r="H107" s="456">
        <v>212146.66666666666</v>
      </c>
      <c r="I107" s="456">
        <v>210490</v>
      </c>
    </row>
    <row r="108" spans="1:9" x14ac:dyDescent="0.3">
      <c r="B108" s="456"/>
      <c r="C108" s="456"/>
      <c r="D108" s="456"/>
      <c r="E108" s="456"/>
      <c r="F108" s="456"/>
      <c r="G108" s="456"/>
      <c r="H108" s="456"/>
      <c r="I108" s="456"/>
    </row>
    <row r="109" spans="1:9" x14ac:dyDescent="0.3">
      <c r="A109" s="458" t="s">
        <v>643</v>
      </c>
      <c r="B109" s="456"/>
      <c r="C109" s="456"/>
      <c r="D109" s="456"/>
      <c r="E109" s="456"/>
      <c r="F109" s="456"/>
      <c r="G109" s="456"/>
      <c r="H109" s="456"/>
      <c r="I109" s="456"/>
    </row>
    <row r="110" spans="1:9" x14ac:dyDescent="0.3">
      <c r="A110" s="5" t="s">
        <v>135</v>
      </c>
      <c r="B110" s="456">
        <v>343253.33333333331</v>
      </c>
      <c r="C110" s="456">
        <v>332306.66666666669</v>
      </c>
      <c r="D110" s="456">
        <v>333350</v>
      </c>
      <c r="E110" s="456">
        <v>353823.33333333331</v>
      </c>
      <c r="F110" s="456">
        <v>319730</v>
      </c>
      <c r="G110" s="456">
        <v>308953.33333333331</v>
      </c>
      <c r="H110" s="456">
        <v>295363.33333333331</v>
      </c>
      <c r="I110" s="456">
        <v>313940</v>
      </c>
    </row>
    <row r="111" spans="1:9" x14ac:dyDescent="0.3">
      <c r="A111" s="457">
        <v>1</v>
      </c>
      <c r="B111" s="456">
        <v>14483.333333333334</v>
      </c>
      <c r="C111" s="456">
        <v>13796.666666666666</v>
      </c>
      <c r="D111" s="456">
        <v>13753.333333333332</v>
      </c>
      <c r="E111" s="456">
        <v>15486.666666666666</v>
      </c>
      <c r="F111" s="456">
        <v>13950</v>
      </c>
      <c r="G111" s="456">
        <v>13360</v>
      </c>
      <c r="H111" s="456">
        <v>13113.333333333334</v>
      </c>
      <c r="I111" s="456">
        <v>14483.333333333332</v>
      </c>
    </row>
    <row r="112" spans="1:9" x14ac:dyDescent="0.3">
      <c r="A112" s="457">
        <v>2</v>
      </c>
      <c r="B112" s="456">
        <v>23486.666666666664</v>
      </c>
      <c r="C112" s="456">
        <v>21963.333333333332</v>
      </c>
      <c r="D112" s="456">
        <v>22183.333333333336</v>
      </c>
      <c r="E112" s="456">
        <v>24903.333333333336</v>
      </c>
      <c r="F112" s="456">
        <v>22370</v>
      </c>
      <c r="G112" s="456">
        <v>21530</v>
      </c>
      <c r="H112" s="456">
        <v>21440</v>
      </c>
      <c r="I112" s="456">
        <v>23270</v>
      </c>
    </row>
    <row r="113" spans="1:9" x14ac:dyDescent="0.3">
      <c r="A113" s="457">
        <v>3</v>
      </c>
      <c r="B113" s="456">
        <v>19120</v>
      </c>
      <c r="C113" s="456">
        <v>18046.666666666668</v>
      </c>
      <c r="D113" s="456">
        <v>18190</v>
      </c>
      <c r="E113" s="456">
        <v>20543.333333333332</v>
      </c>
      <c r="F113" s="456">
        <v>17893.333333333332</v>
      </c>
      <c r="G113" s="456">
        <v>17266.666666666668</v>
      </c>
      <c r="H113" s="456">
        <v>16620</v>
      </c>
      <c r="I113" s="456">
        <v>18276.666666666668</v>
      </c>
    </row>
    <row r="114" spans="1:9" x14ac:dyDescent="0.3">
      <c r="A114" s="457">
        <v>4</v>
      </c>
      <c r="B114" s="456">
        <v>40303.333333333336</v>
      </c>
      <c r="C114" s="456">
        <v>39910</v>
      </c>
      <c r="D114" s="456">
        <v>39993.333333333336</v>
      </c>
      <c r="E114" s="456">
        <v>39870</v>
      </c>
      <c r="F114" s="456">
        <v>36193.333333333336</v>
      </c>
      <c r="G114" s="456">
        <v>34740</v>
      </c>
      <c r="H114" s="456">
        <v>32130</v>
      </c>
      <c r="I114" s="456">
        <v>33530</v>
      </c>
    </row>
    <row r="115" spans="1:9" x14ac:dyDescent="0.3">
      <c r="A115" s="457">
        <v>5</v>
      </c>
      <c r="B115" s="456">
        <v>98996.666666666672</v>
      </c>
      <c r="C115" s="456">
        <v>100353.33333333333</v>
      </c>
      <c r="D115" s="456">
        <v>99956.666666666672</v>
      </c>
      <c r="E115" s="456">
        <v>95980</v>
      </c>
      <c r="F115" s="456">
        <v>90140</v>
      </c>
      <c r="G115" s="456">
        <v>89293.333333333328</v>
      </c>
      <c r="H115" s="456">
        <v>82906.666666666672</v>
      </c>
      <c r="I115" s="456">
        <v>81910</v>
      </c>
    </row>
    <row r="116" spans="1:9" x14ac:dyDescent="0.3">
      <c r="A116" s="457">
        <v>6</v>
      </c>
      <c r="B116" s="456">
        <v>40050</v>
      </c>
      <c r="C116" s="456">
        <v>37746.666666666664</v>
      </c>
      <c r="D116" s="456">
        <v>37410</v>
      </c>
      <c r="E116" s="456">
        <v>41653.333333333336</v>
      </c>
      <c r="F116" s="456">
        <v>38093.333333333336</v>
      </c>
      <c r="G116" s="456">
        <v>36630</v>
      </c>
      <c r="H116" s="456">
        <v>35363.333333333336</v>
      </c>
      <c r="I116" s="456">
        <v>37806.666666666664</v>
      </c>
    </row>
    <row r="117" spans="1:9" x14ac:dyDescent="0.3">
      <c r="A117" s="457">
        <v>7</v>
      </c>
      <c r="B117" s="456">
        <v>36226.666666666672</v>
      </c>
      <c r="C117" s="456">
        <v>34636.666666666664</v>
      </c>
      <c r="D117" s="456">
        <v>34256.666666666664</v>
      </c>
      <c r="E117" s="456">
        <v>35416.666666666664</v>
      </c>
      <c r="F117" s="456">
        <v>33156.666666666664</v>
      </c>
      <c r="G117" s="456">
        <v>31600</v>
      </c>
      <c r="H117" s="456">
        <v>28029.999999999996</v>
      </c>
      <c r="I117" s="456">
        <v>27833.333333333336</v>
      </c>
    </row>
    <row r="118" spans="1:9" x14ac:dyDescent="0.3">
      <c r="A118" s="457">
        <v>8</v>
      </c>
      <c r="B118" s="456">
        <v>12766.666666666668</v>
      </c>
      <c r="C118" s="456">
        <v>11683.333333333332</v>
      </c>
      <c r="D118" s="456">
        <v>12443.333333333332</v>
      </c>
      <c r="E118" s="456">
        <v>14700</v>
      </c>
      <c r="F118" s="456">
        <v>12016.666666666666</v>
      </c>
      <c r="G118" s="456">
        <v>11036.666666666666</v>
      </c>
      <c r="H118" s="456">
        <v>11466.666666666666</v>
      </c>
      <c r="I118" s="456">
        <v>13709.999999999998</v>
      </c>
    </row>
    <row r="119" spans="1:9" x14ac:dyDescent="0.3">
      <c r="A119" s="457">
        <v>9</v>
      </c>
      <c r="B119" s="456">
        <v>16163.333333333332</v>
      </c>
      <c r="C119" s="456">
        <v>15096.666666666668</v>
      </c>
      <c r="D119" s="456">
        <v>15456.666666666666</v>
      </c>
      <c r="E119" s="456">
        <v>18326.666666666664</v>
      </c>
      <c r="F119" s="456">
        <v>16050</v>
      </c>
      <c r="G119" s="456">
        <v>15183.333333333332</v>
      </c>
      <c r="H119" s="456">
        <v>15260</v>
      </c>
      <c r="I119" s="456">
        <v>18010</v>
      </c>
    </row>
    <row r="120" spans="1:9" x14ac:dyDescent="0.3">
      <c r="A120" s="457">
        <v>10</v>
      </c>
      <c r="B120" s="456">
        <v>9010.0000000000018</v>
      </c>
      <c r="C120" s="456">
        <v>8360</v>
      </c>
      <c r="D120" s="456">
        <v>8256.6666666666661</v>
      </c>
      <c r="E120" s="456">
        <v>10020</v>
      </c>
      <c r="F120" s="456">
        <v>8563.3333333333339</v>
      </c>
      <c r="G120" s="456">
        <v>8153.3333333333348</v>
      </c>
      <c r="H120" s="456">
        <v>7716.666666666667</v>
      </c>
      <c r="I120" s="456">
        <v>9213.3333333333321</v>
      </c>
    </row>
    <row r="121" spans="1:9" x14ac:dyDescent="0.3">
      <c r="A121" s="457">
        <v>11</v>
      </c>
      <c r="B121" s="456">
        <v>9973.3333333333339</v>
      </c>
      <c r="C121" s="456">
        <v>9523.3333333333339</v>
      </c>
      <c r="D121" s="456">
        <v>9923.3333333333321</v>
      </c>
      <c r="E121" s="456">
        <v>11506.666666666666</v>
      </c>
      <c r="F121" s="456">
        <v>9966.6666666666679</v>
      </c>
      <c r="G121" s="456">
        <v>9716.6666666666661</v>
      </c>
      <c r="H121" s="456">
        <v>11410</v>
      </c>
      <c r="I121" s="456">
        <v>12973.333333333334</v>
      </c>
    </row>
    <row r="122" spans="1:9" x14ac:dyDescent="0.3">
      <c r="A122" s="457">
        <v>12</v>
      </c>
      <c r="B122" s="456">
        <v>22700</v>
      </c>
      <c r="C122" s="456">
        <v>21216.666666666668</v>
      </c>
      <c r="D122" s="456">
        <v>21526.666666666668</v>
      </c>
      <c r="E122" s="456">
        <v>25433.333333333332</v>
      </c>
      <c r="F122" s="456">
        <v>21343.333333333332</v>
      </c>
      <c r="G122" s="456">
        <v>20446.666666666668</v>
      </c>
      <c r="H122" s="456">
        <v>19913.333333333332</v>
      </c>
      <c r="I122" s="456">
        <v>22923.333333333332</v>
      </c>
    </row>
    <row r="124" spans="1:9" x14ac:dyDescent="0.3">
      <c r="A124" s="458" t="s">
        <v>644</v>
      </c>
    </row>
    <row r="125" spans="1:9" x14ac:dyDescent="0.3">
      <c r="A125" s="5" t="s">
        <v>135</v>
      </c>
      <c r="B125" s="459">
        <f t="shared" ref="B125:I125" si="5">B110*100/B80</f>
        <v>9.7306808055857665</v>
      </c>
      <c r="C125" s="459">
        <f t="shared" si="5"/>
        <v>9.4412991967148834</v>
      </c>
      <c r="D125" s="459">
        <f t="shared" si="5"/>
        <v>9.5122368809032363</v>
      </c>
      <c r="E125" s="459">
        <f t="shared" si="5"/>
        <v>10.164659692130904</v>
      </c>
      <c r="F125" s="459">
        <f t="shared" si="5"/>
        <v>9.1932089157420958</v>
      </c>
      <c r="G125" s="459">
        <f t="shared" si="5"/>
        <v>8.8507473660990943</v>
      </c>
      <c r="H125" s="459">
        <f t="shared" si="5"/>
        <v>8.4637309609275153</v>
      </c>
      <c r="I125" s="459">
        <f t="shared" si="5"/>
        <v>8.987629627438313</v>
      </c>
    </row>
    <row r="126" spans="1:9" x14ac:dyDescent="0.3">
      <c r="A126" s="457">
        <v>1</v>
      </c>
      <c r="B126" s="459">
        <f t="shared" ref="B126:I137" si="6">B111*100/B81</f>
        <v>8.6297642455659513</v>
      </c>
      <c r="C126" s="459">
        <f t="shared" si="6"/>
        <v>8.3195979899497488</v>
      </c>
      <c r="D126" s="459">
        <f t="shared" si="6"/>
        <v>8.2554672962644293</v>
      </c>
      <c r="E126" s="459">
        <f t="shared" si="6"/>
        <v>9.364292336840407</v>
      </c>
      <c r="F126" s="459">
        <f t="shared" si="6"/>
        <v>8.4895326192794549</v>
      </c>
      <c r="G126" s="459">
        <f t="shared" si="6"/>
        <v>8.1814284839453766</v>
      </c>
      <c r="H126" s="459">
        <f t="shared" si="6"/>
        <v>7.9793923167417153</v>
      </c>
      <c r="I126" s="459">
        <f t="shared" si="6"/>
        <v>8.7220973181307198</v>
      </c>
    </row>
    <row r="127" spans="1:9" x14ac:dyDescent="0.3">
      <c r="A127" s="457">
        <v>2</v>
      </c>
      <c r="B127" s="459">
        <f t="shared" si="6"/>
        <v>10.302675829799677</v>
      </c>
      <c r="C127" s="459">
        <f t="shared" si="6"/>
        <v>9.7758193498612762</v>
      </c>
      <c r="D127" s="459">
        <f t="shared" si="6"/>
        <v>9.7990134727232565</v>
      </c>
      <c r="E127" s="459">
        <f t="shared" si="6"/>
        <v>11.093457666379592</v>
      </c>
      <c r="F127" s="459">
        <f t="shared" si="6"/>
        <v>10.056644488401366</v>
      </c>
      <c r="G127" s="459">
        <f t="shared" si="6"/>
        <v>9.7958626546954619</v>
      </c>
      <c r="H127" s="459">
        <f t="shared" si="6"/>
        <v>9.543168296265522</v>
      </c>
      <c r="I127" s="459">
        <f t="shared" si="6"/>
        <v>10.294941749004572</v>
      </c>
    </row>
    <row r="128" spans="1:9" x14ac:dyDescent="0.3">
      <c r="A128" s="457">
        <v>3</v>
      </c>
      <c r="B128" s="459">
        <f t="shared" si="6"/>
        <v>9.2472875590449632</v>
      </c>
      <c r="C128" s="459">
        <f t="shared" si="6"/>
        <v>8.7681793152592888</v>
      </c>
      <c r="D128" s="459">
        <f t="shared" si="6"/>
        <v>8.9246872189058806</v>
      </c>
      <c r="E128" s="459">
        <f t="shared" si="6"/>
        <v>10.130015286247309</v>
      </c>
      <c r="F128" s="459">
        <f t="shared" si="6"/>
        <v>8.8057742782152229</v>
      </c>
      <c r="G128" s="459">
        <f t="shared" si="6"/>
        <v>8.5016986984851215</v>
      </c>
      <c r="H128" s="459">
        <f t="shared" si="6"/>
        <v>8.2020069090310894</v>
      </c>
      <c r="I128" s="459">
        <f t="shared" si="6"/>
        <v>8.9647166541316512</v>
      </c>
    </row>
    <row r="129" spans="1:14" x14ac:dyDescent="0.3">
      <c r="A129" s="457">
        <v>4</v>
      </c>
      <c r="B129" s="459">
        <f t="shared" si="6"/>
        <v>10.362529996571821</v>
      </c>
      <c r="C129" s="459">
        <f t="shared" si="6"/>
        <v>10.344648827986626</v>
      </c>
      <c r="D129" s="459">
        <f t="shared" si="6"/>
        <v>10.386619803660162</v>
      </c>
      <c r="E129" s="459">
        <f t="shared" si="6"/>
        <v>10.334459430269831</v>
      </c>
      <c r="F129" s="459">
        <f t="shared" si="6"/>
        <v>9.4073817362675456</v>
      </c>
      <c r="G129" s="459">
        <f t="shared" si="6"/>
        <v>9.0066889054047046</v>
      </c>
      <c r="H129" s="459">
        <f t="shared" si="6"/>
        <v>8.3400389357560023</v>
      </c>
      <c r="I129" s="459">
        <f t="shared" si="6"/>
        <v>8.6890046386275888</v>
      </c>
    </row>
    <row r="130" spans="1:14" x14ac:dyDescent="0.3">
      <c r="A130" s="457">
        <v>5</v>
      </c>
      <c r="B130" s="459">
        <f t="shared" si="6"/>
        <v>8.9023644516918061</v>
      </c>
      <c r="C130" s="459">
        <f t="shared" si="6"/>
        <v>9.0781621742237597</v>
      </c>
      <c r="D130" s="459">
        <f t="shared" si="6"/>
        <v>9.065542052119234</v>
      </c>
      <c r="E130" s="459">
        <f t="shared" si="6"/>
        <v>8.7162892352586816</v>
      </c>
      <c r="F130" s="459">
        <f t="shared" si="6"/>
        <v>8.1729490558282354</v>
      </c>
      <c r="G130" s="459">
        <f t="shared" si="6"/>
        <v>8.0507302999338819</v>
      </c>
      <c r="H130" s="459">
        <f t="shared" si="6"/>
        <v>7.4758489681332625</v>
      </c>
      <c r="I130" s="459">
        <f t="shared" si="6"/>
        <v>7.4074855606332832</v>
      </c>
    </row>
    <row r="131" spans="1:14" x14ac:dyDescent="0.3">
      <c r="A131" s="457">
        <v>6</v>
      </c>
      <c r="B131" s="459">
        <f t="shared" si="6"/>
        <v>10.185051751761087</v>
      </c>
      <c r="C131" s="459">
        <f t="shared" si="6"/>
        <v>9.7452667814113596</v>
      </c>
      <c r="D131" s="459">
        <f t="shared" si="6"/>
        <v>9.5278926233752994</v>
      </c>
      <c r="E131" s="459">
        <f t="shared" si="6"/>
        <v>10.642955089386856</v>
      </c>
      <c r="F131" s="459">
        <f t="shared" si="6"/>
        <v>9.8466310529036711</v>
      </c>
      <c r="G131" s="459">
        <f t="shared" si="6"/>
        <v>9.6368531364278134</v>
      </c>
      <c r="H131" s="459">
        <f t="shared" si="6"/>
        <v>9.0528202065022629</v>
      </c>
      <c r="I131" s="459">
        <f t="shared" si="6"/>
        <v>9.5477006220905256</v>
      </c>
    </row>
    <row r="132" spans="1:14" x14ac:dyDescent="0.3">
      <c r="A132" s="457">
        <v>7</v>
      </c>
      <c r="B132" s="459">
        <f t="shared" si="6"/>
        <v>13.755743161998307</v>
      </c>
      <c r="C132" s="459">
        <f t="shared" si="6"/>
        <v>13.297075948557168</v>
      </c>
      <c r="D132" s="459">
        <f t="shared" si="6"/>
        <v>12.94691224268689</v>
      </c>
      <c r="E132" s="459">
        <f t="shared" si="6"/>
        <v>13.512654203230319</v>
      </c>
      <c r="F132" s="459">
        <f t="shared" si="6"/>
        <v>12.774838179389706</v>
      </c>
      <c r="G132" s="459">
        <f t="shared" si="6"/>
        <v>12.375979112271541</v>
      </c>
      <c r="H132" s="459">
        <f t="shared" si="6"/>
        <v>10.835223172868776</v>
      </c>
      <c r="I132" s="459">
        <f t="shared" si="6"/>
        <v>10.733475589377074</v>
      </c>
    </row>
    <row r="133" spans="1:14" x14ac:dyDescent="0.3">
      <c r="A133" s="457">
        <v>8</v>
      </c>
      <c r="B133" s="459">
        <f t="shared" si="6"/>
        <v>9.4832495605021432</v>
      </c>
      <c r="C133" s="459">
        <f t="shared" si="6"/>
        <v>7.8811863377779767</v>
      </c>
      <c r="D133" s="459">
        <f t="shared" si="6"/>
        <v>9.4628507693477637</v>
      </c>
      <c r="E133" s="459">
        <f t="shared" si="6"/>
        <v>11.736839303773886</v>
      </c>
      <c r="F133" s="459">
        <f t="shared" si="6"/>
        <v>9.2371947626002502</v>
      </c>
      <c r="G133" s="459">
        <f t="shared" si="6"/>
        <v>7.4509980421720634</v>
      </c>
      <c r="H133" s="459">
        <f t="shared" si="6"/>
        <v>8.7117279104515397</v>
      </c>
      <c r="I133" s="459">
        <f t="shared" si="6"/>
        <v>10.729378619502269</v>
      </c>
    </row>
    <row r="134" spans="1:14" x14ac:dyDescent="0.3">
      <c r="A134" s="457">
        <v>9</v>
      </c>
      <c r="B134" s="459">
        <f t="shared" si="6"/>
        <v>9.920821654356855</v>
      </c>
      <c r="C134" s="459">
        <f t="shared" si="6"/>
        <v>8.8999371168055355</v>
      </c>
      <c r="D134" s="459">
        <f t="shared" si="6"/>
        <v>9.5669396934122819</v>
      </c>
      <c r="E134" s="459">
        <f t="shared" si="6"/>
        <v>11.627120077824301</v>
      </c>
      <c r="F134" s="459">
        <f t="shared" si="6"/>
        <v>10.016225661507738</v>
      </c>
      <c r="G134" s="459">
        <f t="shared" si="6"/>
        <v>8.9568380690197618</v>
      </c>
      <c r="H134" s="459">
        <f t="shared" si="6"/>
        <v>9.5508313687855964</v>
      </c>
      <c r="I134" s="459">
        <f t="shared" si="6"/>
        <v>11.355134294481108</v>
      </c>
    </row>
    <row r="135" spans="1:14" x14ac:dyDescent="0.3">
      <c r="A135" s="457">
        <v>10</v>
      </c>
      <c r="B135" s="459">
        <f t="shared" si="6"/>
        <v>9.1596069129108795</v>
      </c>
      <c r="C135" s="459">
        <f t="shared" si="6"/>
        <v>8.5378723404255332</v>
      </c>
      <c r="D135" s="459">
        <f t="shared" si="6"/>
        <v>8.4182979880369757</v>
      </c>
      <c r="E135" s="459">
        <f t="shared" si="6"/>
        <v>10.30687467855306</v>
      </c>
      <c r="F135" s="459">
        <f t="shared" si="6"/>
        <v>8.9015939015939018</v>
      </c>
      <c r="G135" s="459">
        <f t="shared" si="6"/>
        <v>8.5440827162218813</v>
      </c>
      <c r="H135" s="459">
        <f t="shared" si="6"/>
        <v>7.9482249536496621</v>
      </c>
      <c r="I135" s="459">
        <f t="shared" si="6"/>
        <v>9.4337690706167425</v>
      </c>
    </row>
    <row r="136" spans="1:14" x14ac:dyDescent="0.3">
      <c r="A136" s="457">
        <v>11</v>
      </c>
      <c r="B136" s="459">
        <f t="shared" si="6"/>
        <v>7.392582709460628</v>
      </c>
      <c r="C136" s="459">
        <f t="shared" si="6"/>
        <v>6.9235429540773055</v>
      </c>
      <c r="D136" s="459">
        <f t="shared" si="6"/>
        <v>7.3624335353035724</v>
      </c>
      <c r="E136" s="459">
        <f t="shared" si="6"/>
        <v>8.6794729960776422</v>
      </c>
      <c r="F136" s="459">
        <f t="shared" si="6"/>
        <v>7.3887365013467772</v>
      </c>
      <c r="G136" s="459">
        <f t="shared" si="6"/>
        <v>7.0912496655070907</v>
      </c>
      <c r="H136" s="459">
        <f t="shared" si="6"/>
        <v>8.5128077592638665</v>
      </c>
      <c r="I136" s="459">
        <f t="shared" si="6"/>
        <v>9.7774204893734638</v>
      </c>
    </row>
    <row r="137" spans="1:14" x14ac:dyDescent="0.3">
      <c r="A137" s="457">
        <v>12</v>
      </c>
      <c r="B137" s="459">
        <f t="shared" si="6"/>
        <v>9.5918194878728986</v>
      </c>
      <c r="C137" s="459">
        <f t="shared" si="6"/>
        <v>9.1829815474730587</v>
      </c>
      <c r="D137" s="459">
        <f t="shared" si="6"/>
        <v>9.0888619922875584</v>
      </c>
      <c r="E137" s="459">
        <f t="shared" si="6"/>
        <v>10.813185567302513</v>
      </c>
      <c r="F137" s="459">
        <f t="shared" si="6"/>
        <v>9.180059929174611</v>
      </c>
      <c r="G137" s="459">
        <f t="shared" si="6"/>
        <v>9.1207827160126698</v>
      </c>
      <c r="H137" s="459">
        <f t="shared" si="6"/>
        <v>8.5811140796920338</v>
      </c>
      <c r="I137" s="459">
        <f t="shared" si="6"/>
        <v>9.8210587949673673</v>
      </c>
    </row>
    <row r="138" spans="1:14" x14ac:dyDescent="0.3">
      <c r="A138" s="460"/>
      <c r="B138" s="459"/>
      <c r="C138" s="459"/>
      <c r="D138" s="459"/>
      <c r="E138" s="459"/>
      <c r="F138" s="459"/>
      <c r="G138" s="459"/>
      <c r="H138" s="459"/>
      <c r="I138" s="459"/>
      <c r="J138" s="459"/>
    </row>
    <row r="139" spans="1:14" x14ac:dyDescent="0.3">
      <c r="A139" s="460"/>
      <c r="B139" s="459"/>
      <c r="C139" s="459"/>
      <c r="D139" s="459"/>
      <c r="E139" s="459"/>
      <c r="F139" s="459"/>
      <c r="G139" s="459"/>
      <c r="H139" s="459"/>
      <c r="I139" s="459"/>
      <c r="J139" s="459"/>
    </row>
    <row r="140" spans="1:14" x14ac:dyDescent="0.3">
      <c r="A140" s="460"/>
      <c r="B140" s="459"/>
      <c r="C140" s="459"/>
      <c r="D140" s="459"/>
      <c r="E140" s="459"/>
      <c r="F140" s="459"/>
      <c r="G140" s="459"/>
      <c r="H140" s="459"/>
      <c r="I140" s="459"/>
      <c r="J140" s="459"/>
    </row>
    <row r="141" spans="1:14" x14ac:dyDescent="0.3">
      <c r="A141" s="650" t="s">
        <v>577</v>
      </c>
      <c r="B141" s="650"/>
      <c r="C141" s="650"/>
      <c r="D141" s="650"/>
      <c r="E141" s="650"/>
      <c r="F141" s="650"/>
      <c r="G141" s="650"/>
      <c r="H141" s="650"/>
      <c r="I141" s="650"/>
      <c r="J141" s="650"/>
      <c r="K141" s="650"/>
      <c r="L141" s="650"/>
      <c r="M141" s="650"/>
      <c r="N141" s="650"/>
    </row>
    <row r="142" spans="1:14" x14ac:dyDescent="0.3">
      <c r="A142" s="549" t="s">
        <v>690</v>
      </c>
      <c r="B142" s="462"/>
      <c r="C142" s="462"/>
      <c r="D142" s="463"/>
      <c r="E142" s="464"/>
      <c r="F142" s="464"/>
      <c r="G142" s="464"/>
      <c r="H142" s="464"/>
      <c r="I142" s="465"/>
      <c r="J142" s="464"/>
      <c r="K142" s="465"/>
      <c r="L142" s="465"/>
      <c r="M142" s="461"/>
      <c r="N142" s="461"/>
    </row>
    <row r="143" spans="1:14" x14ac:dyDescent="0.3">
      <c r="A143" s="461"/>
      <c r="B143" s="463"/>
      <c r="C143" s="165" t="s">
        <v>264</v>
      </c>
      <c r="D143" s="166"/>
      <c r="E143" s="461"/>
      <c r="F143" s="461"/>
      <c r="G143" s="461"/>
      <c r="H143" s="461"/>
      <c r="I143" s="461"/>
    </row>
    <row r="144" spans="1:14" x14ac:dyDescent="0.3">
      <c r="A144" s="461"/>
      <c r="B144" s="466" t="s">
        <v>263</v>
      </c>
      <c r="C144" s="167" t="s">
        <v>262</v>
      </c>
      <c r="D144" s="166" t="s">
        <v>287</v>
      </c>
      <c r="E144" s="461"/>
      <c r="F144" s="461" t="e">
        <f>VLOOKUP(B7,Lists!B44:D82,3,)</f>
        <v>#N/A</v>
      </c>
      <c r="G144" s="461"/>
      <c r="H144" s="461"/>
      <c r="I144" s="461"/>
    </row>
    <row r="145" spans="1:10" x14ac:dyDescent="0.3">
      <c r="A145" s="461"/>
      <c r="B145" s="467"/>
      <c r="C145" s="161"/>
      <c r="D145" s="160"/>
      <c r="E145" s="461"/>
      <c r="F145" s="461"/>
      <c r="G145" s="461"/>
      <c r="H145" s="461"/>
      <c r="I145" s="461"/>
    </row>
    <row r="146" spans="1:10" x14ac:dyDescent="0.3">
      <c r="A146" s="440"/>
      <c r="B146" s="162" t="s">
        <v>261</v>
      </c>
      <c r="C146" s="468">
        <v>2844383</v>
      </c>
      <c r="D146" s="160">
        <v>142971479453</v>
      </c>
      <c r="E146" s="440"/>
      <c r="F146" s="440"/>
      <c r="G146" s="440"/>
      <c r="H146" s="440"/>
      <c r="I146" s="440"/>
    </row>
    <row r="147" spans="1:10" x14ac:dyDescent="0.3">
      <c r="A147" s="461"/>
      <c r="B147" s="467"/>
      <c r="C147" s="469"/>
      <c r="D147" s="168"/>
      <c r="E147" s="470" t="s">
        <v>0</v>
      </c>
      <c r="F147" s="471" t="s">
        <v>288</v>
      </c>
      <c r="G147" s="470" t="s">
        <v>278</v>
      </c>
      <c r="H147" s="470" t="s">
        <v>289</v>
      </c>
      <c r="I147" s="470" t="s">
        <v>282</v>
      </c>
      <c r="J147" s="470" t="s">
        <v>283</v>
      </c>
    </row>
    <row r="148" spans="1:10" x14ac:dyDescent="0.3">
      <c r="A148" s="461">
        <f>VLOOKUP(B148,Lists!B44:D82,3,)</f>
        <v>8</v>
      </c>
      <c r="B148" s="461" t="s">
        <v>234</v>
      </c>
      <c r="C148" s="472">
        <v>7097</v>
      </c>
      <c r="D148" s="168">
        <v>235742630</v>
      </c>
      <c r="E148" s="470">
        <v>1</v>
      </c>
      <c r="F148" s="471">
        <f t="shared" ref="F148:F159" ca="1" si="7">SUMIF($A$148:$D$187,$E148,$D$148:$D$187)</f>
        <v>4572882477</v>
      </c>
      <c r="G148" s="464">
        <f t="shared" ref="G148:G159" ca="1" si="8">SUMIF($A$148:$C$187,$E148,$C$148:$C$187)</f>
        <v>110439</v>
      </c>
      <c r="H148" s="471">
        <f ca="1">F148/G148</f>
        <v>41406.409665063969</v>
      </c>
      <c r="I148" s="471">
        <f ca="1">H148/2</f>
        <v>20703.204832531985</v>
      </c>
      <c r="J148" s="471">
        <f ca="1">F167</f>
        <v>21.565838367220817</v>
      </c>
    </row>
    <row r="149" spans="1:10" x14ac:dyDescent="0.3">
      <c r="A149" s="461">
        <f>VLOOKUP(B149,Lists!B45:D83,3,)</f>
        <v>10</v>
      </c>
      <c r="B149" s="461" t="s">
        <v>233</v>
      </c>
      <c r="C149" s="472">
        <v>5597</v>
      </c>
      <c r="D149" s="168">
        <v>166289455</v>
      </c>
      <c r="E149" s="470">
        <v>2</v>
      </c>
      <c r="F149" s="471">
        <f t="shared" ca="1" si="7"/>
        <v>6346907294</v>
      </c>
      <c r="G149" s="464">
        <f t="shared" ca="1" si="8"/>
        <v>160897</v>
      </c>
      <c r="H149" s="471">
        <f t="shared" ref="H149:H160" ca="1" si="9">F149/G149</f>
        <v>39447.020727546194</v>
      </c>
      <c r="I149" s="471">
        <f t="shared" ref="I149:I160" ca="1" si="10">H149/2</f>
        <v>19723.510363773097</v>
      </c>
      <c r="J149" s="471">
        <f t="shared" ref="J149:J160" ca="1" si="11">F168</f>
        <v>20.545323295596976</v>
      </c>
    </row>
    <row r="150" spans="1:10" x14ac:dyDescent="0.3">
      <c r="A150" s="461">
        <f>VLOOKUP(B150,Lists!B46:D84,3,)</f>
        <v>11</v>
      </c>
      <c r="B150" s="461" t="s">
        <v>232</v>
      </c>
      <c r="C150" s="472">
        <v>81328</v>
      </c>
      <c r="D150" s="168">
        <v>4130192365</v>
      </c>
      <c r="E150" s="470">
        <v>3</v>
      </c>
      <c r="F150" s="471">
        <f t="shared" ca="1" si="7"/>
        <v>5501029033</v>
      </c>
      <c r="G150" s="464">
        <f t="shared" ca="1" si="8"/>
        <v>144483</v>
      </c>
      <c r="H150" s="471">
        <f t="shared" ca="1" si="9"/>
        <v>38073.884353176501</v>
      </c>
      <c r="I150" s="471">
        <f t="shared" ca="1" si="10"/>
        <v>19036.942176588251</v>
      </c>
      <c r="J150" s="471">
        <f t="shared" ca="1" si="11"/>
        <v>19.83014810061276</v>
      </c>
    </row>
    <row r="151" spans="1:10" x14ac:dyDescent="0.3">
      <c r="A151" s="461">
        <f>VLOOKUP(B151,Lists!B47:D85,3,)</f>
        <v>8</v>
      </c>
      <c r="B151" s="461" t="s">
        <v>231</v>
      </c>
      <c r="C151" s="472">
        <v>38940</v>
      </c>
      <c r="D151" s="168">
        <v>1291096016</v>
      </c>
      <c r="E151" s="470">
        <v>4</v>
      </c>
      <c r="F151" s="471">
        <f t="shared" ca="1" si="7"/>
        <v>12535010303</v>
      </c>
      <c r="G151" s="464">
        <f t="shared" ca="1" si="8"/>
        <v>246691</v>
      </c>
      <c r="H151" s="471">
        <f t="shared" ca="1" si="9"/>
        <v>50812.596742483511</v>
      </c>
      <c r="I151" s="471">
        <f t="shared" ca="1" si="10"/>
        <v>25406.298371241755</v>
      </c>
      <c r="J151" s="471">
        <f t="shared" ca="1" si="11"/>
        <v>26.464894136710161</v>
      </c>
    </row>
    <row r="152" spans="1:10" x14ac:dyDescent="0.3">
      <c r="A152" s="461">
        <f>VLOOKUP(B152,Lists!B48:D86,3,)</f>
        <v>1</v>
      </c>
      <c r="B152" s="461" t="s">
        <v>230</v>
      </c>
      <c r="C152" s="472">
        <v>21678</v>
      </c>
      <c r="D152" s="168">
        <v>746006614</v>
      </c>
      <c r="E152" s="470">
        <v>5</v>
      </c>
      <c r="F152" s="471">
        <f t="shared" ca="1" si="7"/>
        <v>71979772189</v>
      </c>
      <c r="G152" s="464">
        <f t="shared" ca="1" si="8"/>
        <v>1137431</v>
      </c>
      <c r="H152" s="471">
        <f t="shared" ca="1" si="9"/>
        <v>63282.759296168297</v>
      </c>
      <c r="I152" s="471">
        <f t="shared" ca="1" si="10"/>
        <v>31641.379648084148</v>
      </c>
      <c r="J152" s="471">
        <f t="shared" ca="1" si="11"/>
        <v>32.959770466754321</v>
      </c>
    </row>
    <row r="153" spans="1:10" x14ac:dyDescent="0.3">
      <c r="A153" s="461">
        <f>VLOOKUP(B153,Lists!B49:D87,3,)</f>
        <v>7</v>
      </c>
      <c r="B153" s="461" t="s">
        <v>229</v>
      </c>
      <c r="C153" s="472">
        <v>127641</v>
      </c>
      <c r="D153" s="168">
        <v>5457847075</v>
      </c>
      <c r="E153" s="470">
        <v>6</v>
      </c>
      <c r="F153" s="471">
        <f t="shared" ca="1" si="7"/>
        <v>11197966456</v>
      </c>
      <c r="G153" s="464">
        <f t="shared" ca="1" si="8"/>
        <v>260184</v>
      </c>
      <c r="H153" s="471">
        <f t="shared" ca="1" si="9"/>
        <v>43038.64363681087</v>
      </c>
      <c r="I153" s="471">
        <f t="shared" ca="1" si="10"/>
        <v>21519.321818405435</v>
      </c>
      <c r="J153" s="471">
        <f t="shared" ca="1" si="11"/>
        <v>22.415960227505661</v>
      </c>
    </row>
    <row r="154" spans="1:10" x14ac:dyDescent="0.3">
      <c r="A154" s="461">
        <f>VLOOKUP(B154,Lists!B50:D88,3,)</f>
        <v>10</v>
      </c>
      <c r="B154" s="461" t="s">
        <v>228</v>
      </c>
      <c r="C154" s="472">
        <v>1240</v>
      </c>
      <c r="D154" s="168">
        <v>44320081</v>
      </c>
      <c r="E154" s="470">
        <v>7</v>
      </c>
      <c r="F154" s="471">
        <f t="shared" ca="1" si="7"/>
        <v>6884608149</v>
      </c>
      <c r="G154" s="464">
        <f t="shared" ca="1" si="8"/>
        <v>163621</v>
      </c>
      <c r="H154" s="471">
        <f t="shared" ca="1" si="9"/>
        <v>42076.555876079474</v>
      </c>
      <c r="I154" s="471">
        <f t="shared" ca="1" si="10"/>
        <v>21038.277938039737</v>
      </c>
      <c r="J154" s="471">
        <f t="shared" ca="1" si="11"/>
        <v>21.914872852124724</v>
      </c>
    </row>
    <row r="155" spans="1:10" x14ac:dyDescent="0.3">
      <c r="A155" s="461">
        <f>VLOOKUP(B155,Lists!B51:D89,3,)</f>
        <v>7</v>
      </c>
      <c r="B155" s="461" t="s">
        <v>227</v>
      </c>
      <c r="C155" s="472">
        <v>35262</v>
      </c>
      <c r="D155" s="168">
        <v>1404919074</v>
      </c>
      <c r="E155" s="470">
        <v>8</v>
      </c>
      <c r="F155" s="471">
        <f t="shared" ca="1" si="7"/>
        <v>3479639449</v>
      </c>
      <c r="G155" s="464">
        <f t="shared" ca="1" si="8"/>
        <v>109268</v>
      </c>
      <c r="H155" s="471">
        <f t="shared" ca="1" si="9"/>
        <v>31844.999899330087</v>
      </c>
      <c r="I155" s="471">
        <f t="shared" ca="1" si="10"/>
        <v>15922.499949665043</v>
      </c>
      <c r="J155" s="471">
        <f t="shared" ca="1" si="11"/>
        <v>16.585937447567751</v>
      </c>
    </row>
    <row r="156" spans="1:10" x14ac:dyDescent="0.3">
      <c r="A156" s="461">
        <f>VLOOKUP(B156,Lists!B52:D90,3,)</f>
        <v>8</v>
      </c>
      <c r="B156" s="461" t="s">
        <v>226</v>
      </c>
      <c r="C156" s="472">
        <v>10834</v>
      </c>
      <c r="D156" s="168">
        <v>320486158</v>
      </c>
      <c r="E156" s="470">
        <v>9</v>
      </c>
      <c r="F156" s="471">
        <f t="shared" ca="1" si="7"/>
        <v>4056422840</v>
      </c>
      <c r="G156" s="464">
        <f t="shared" ca="1" si="8"/>
        <v>123674</v>
      </c>
      <c r="H156" s="471">
        <f t="shared" ca="1" si="9"/>
        <v>32799.317884114687</v>
      </c>
      <c r="I156" s="471">
        <f t="shared" ca="1" si="10"/>
        <v>16399.658942057344</v>
      </c>
      <c r="J156" s="471">
        <f t="shared" ca="1" si="11"/>
        <v>17.082978064643065</v>
      </c>
    </row>
    <row r="157" spans="1:10" x14ac:dyDescent="0.3">
      <c r="A157" s="461">
        <f>VLOOKUP(B157,Lists!B53:D91,3,)</f>
        <v>10</v>
      </c>
      <c r="B157" s="461" t="s">
        <v>225</v>
      </c>
      <c r="C157" s="472">
        <v>1607</v>
      </c>
      <c r="D157" s="168">
        <v>56720096</v>
      </c>
      <c r="E157" s="470">
        <v>10</v>
      </c>
      <c r="F157" s="471">
        <f t="shared" ca="1" si="7"/>
        <v>2440532668</v>
      </c>
      <c r="G157" s="464">
        <f t="shared" ca="1" si="8"/>
        <v>68358</v>
      </c>
      <c r="H157" s="471">
        <f ca="1">F157/G157</f>
        <v>35702.224582345887</v>
      </c>
      <c r="I157" s="471">
        <f t="shared" ca="1" si="10"/>
        <v>17851.112291172944</v>
      </c>
      <c r="J157" s="471">
        <f t="shared" ca="1" si="11"/>
        <v>18.594908636638483</v>
      </c>
    </row>
    <row r="158" spans="1:10" x14ac:dyDescent="0.3">
      <c r="A158" s="461">
        <f>VLOOKUP(B158,Lists!B54:D92,3,)</f>
        <v>11</v>
      </c>
      <c r="B158" s="461" t="s">
        <v>224</v>
      </c>
      <c r="C158" s="472">
        <v>29632</v>
      </c>
      <c r="D158" s="168">
        <v>997548146</v>
      </c>
      <c r="E158" s="470">
        <v>11</v>
      </c>
      <c r="F158" s="471">
        <f t="shared" ca="1" si="7"/>
        <v>5127740511</v>
      </c>
      <c r="G158" s="464">
        <f t="shared" ca="1" si="8"/>
        <v>110960</v>
      </c>
      <c r="H158" s="471">
        <f t="shared" ca="1" si="9"/>
        <v>46212.513617519828</v>
      </c>
      <c r="I158" s="471">
        <f t="shared" ca="1" si="10"/>
        <v>23106.256808759914</v>
      </c>
      <c r="J158" s="471">
        <f t="shared" ca="1" si="11"/>
        <v>24.069017509124912</v>
      </c>
    </row>
    <row r="159" spans="1:10" x14ac:dyDescent="0.3">
      <c r="A159" s="461">
        <f>VLOOKUP(B159,Lists!B55:D93,3,)</f>
        <v>10</v>
      </c>
      <c r="B159" s="461" t="s">
        <v>223</v>
      </c>
      <c r="C159" s="472">
        <v>796</v>
      </c>
      <c r="D159" s="168">
        <v>29650786</v>
      </c>
      <c r="E159" s="470">
        <v>12</v>
      </c>
      <c r="F159" s="471">
        <f t="shared" ca="1" si="7"/>
        <v>7873231307</v>
      </c>
      <c r="G159" s="464">
        <f t="shared" ca="1" si="8"/>
        <v>197179</v>
      </c>
      <c r="H159" s="471">
        <f t="shared" ca="1" si="9"/>
        <v>39929.360160057615</v>
      </c>
      <c r="I159" s="471">
        <f t="shared" ca="1" si="10"/>
        <v>19964.680080028807</v>
      </c>
      <c r="J159" s="471">
        <f t="shared" ca="1" si="11"/>
        <v>20.796541750030009</v>
      </c>
    </row>
    <row r="160" spans="1:10" x14ac:dyDescent="0.3">
      <c r="A160" s="461">
        <f>VLOOKUP(B160,Lists!B56:D94,3,)</f>
        <v>8</v>
      </c>
      <c r="B160" s="461" t="s">
        <v>222</v>
      </c>
      <c r="C160" s="472">
        <v>35209</v>
      </c>
      <c r="D160" s="168">
        <v>1183163447</v>
      </c>
      <c r="E160" s="470"/>
      <c r="F160" s="471">
        <f>D146</f>
        <v>142971479453</v>
      </c>
      <c r="G160" s="464">
        <f>C146</f>
        <v>2844383</v>
      </c>
      <c r="H160" s="471">
        <f t="shared" si="9"/>
        <v>50264.496536858787</v>
      </c>
      <c r="I160" s="471">
        <f t="shared" si="10"/>
        <v>25132.248268429394</v>
      </c>
      <c r="J160" s="471">
        <f t="shared" si="11"/>
        <v>26.179425279613952</v>
      </c>
    </row>
    <row r="161" spans="1:9" x14ac:dyDescent="0.3">
      <c r="A161" s="461">
        <f>VLOOKUP(B161,Lists!B57:D95,3,)</f>
        <v>2</v>
      </c>
      <c r="B161" s="461" t="s">
        <v>221</v>
      </c>
      <c r="C161" s="472">
        <v>22372</v>
      </c>
      <c r="D161" s="168">
        <v>783049019</v>
      </c>
      <c r="E161" s="470"/>
      <c r="F161" s="470"/>
      <c r="G161" s="470"/>
      <c r="H161" s="470"/>
      <c r="I161" s="470"/>
    </row>
    <row r="162" spans="1:9" x14ac:dyDescent="0.3">
      <c r="A162" s="461">
        <f>VLOOKUP(B162,Lists!B58:D96,3,)</f>
        <v>3</v>
      </c>
      <c r="B162" s="461" t="s">
        <v>220</v>
      </c>
      <c r="C162" s="472">
        <v>14703</v>
      </c>
      <c r="D162" s="168">
        <v>500865381</v>
      </c>
      <c r="E162" s="470"/>
      <c r="F162" s="470"/>
      <c r="G162" s="470"/>
      <c r="H162" s="470"/>
      <c r="I162" s="470"/>
    </row>
    <row r="163" spans="1:9" x14ac:dyDescent="0.3">
      <c r="A163" s="461">
        <f>VLOOKUP(B163,Lists!B59:D97,3,)</f>
        <v>1</v>
      </c>
      <c r="B163" s="461" t="s">
        <v>219</v>
      </c>
      <c r="C163" s="472">
        <v>7823</v>
      </c>
      <c r="D163" s="168">
        <v>255614622</v>
      </c>
      <c r="E163" s="470"/>
      <c r="F163" s="470"/>
      <c r="G163" s="470"/>
      <c r="H163" s="470"/>
      <c r="I163" s="470"/>
    </row>
    <row r="164" spans="1:9" x14ac:dyDescent="0.3">
      <c r="A164" s="461">
        <f>VLOOKUP(B164,Lists!B60:D98,3,)</f>
        <v>5</v>
      </c>
      <c r="B164" s="461" t="s">
        <v>218</v>
      </c>
      <c r="C164" s="472">
        <v>1137431</v>
      </c>
      <c r="D164" s="168">
        <v>71979772189</v>
      </c>
      <c r="E164" s="470"/>
      <c r="F164" s="470"/>
      <c r="G164" s="470"/>
      <c r="H164" s="470"/>
      <c r="I164" s="470"/>
    </row>
    <row r="165" spans="1:9" x14ac:dyDescent="0.3">
      <c r="A165" s="461">
        <f>VLOOKUP(B165,Lists!B61:D99,3,)</f>
        <v>1</v>
      </c>
      <c r="B165" s="461" t="s">
        <v>217</v>
      </c>
      <c r="C165" s="472">
        <v>80938</v>
      </c>
      <c r="D165" s="168">
        <v>3571261241</v>
      </c>
      <c r="E165" s="470"/>
      <c r="F165" s="470"/>
      <c r="G165" s="470"/>
      <c r="H165" s="470"/>
      <c r="I165" s="470"/>
    </row>
    <row r="166" spans="1:9" x14ac:dyDescent="0.3">
      <c r="A166" s="461">
        <f>VLOOKUP(B166,Lists!B62:D100,3,)</f>
        <v>9</v>
      </c>
      <c r="B166" s="461" t="s">
        <v>216</v>
      </c>
      <c r="C166" s="472">
        <v>13467</v>
      </c>
      <c r="D166" s="168">
        <v>439558028</v>
      </c>
      <c r="E166" s="470"/>
      <c r="F166" s="470" t="s">
        <v>283</v>
      </c>
      <c r="G166" s="470" t="s">
        <v>284</v>
      </c>
      <c r="H166" s="470" t="s">
        <v>285</v>
      </c>
      <c r="I166" s="470"/>
    </row>
    <row r="167" spans="1:9" x14ac:dyDescent="0.3">
      <c r="A167" s="461">
        <f>VLOOKUP(B167,Lists!B63:D101,3,)</f>
        <v>9</v>
      </c>
      <c r="B167" s="461" t="s">
        <v>215</v>
      </c>
      <c r="C167" s="472">
        <v>6879</v>
      </c>
      <c r="D167" s="168">
        <v>278849008</v>
      </c>
      <c r="E167" s="470">
        <v>1</v>
      </c>
      <c r="F167" s="471">
        <f ca="1">G167/40</f>
        <v>21.565838367220817</v>
      </c>
      <c r="G167" s="169">
        <f ca="1">H167/4</f>
        <v>862.6335346888327</v>
      </c>
      <c r="H167" s="471">
        <f ca="1">H148/12</f>
        <v>3450.5341387553308</v>
      </c>
      <c r="I167" s="470"/>
    </row>
    <row r="168" spans="1:9" x14ac:dyDescent="0.3">
      <c r="A168" s="461">
        <f>VLOOKUP(B168,Lists!B64:D102,3,)</f>
        <v>2</v>
      </c>
      <c r="B168" s="461" t="s">
        <v>214</v>
      </c>
      <c r="C168" s="472">
        <v>23184</v>
      </c>
      <c r="D168" s="168">
        <v>795675538</v>
      </c>
      <c r="E168" s="470">
        <v>2</v>
      </c>
      <c r="F168" s="471">
        <f t="shared" ref="F168:F178" ca="1" si="12">G168/40</f>
        <v>20.545323295596976</v>
      </c>
      <c r="G168" s="169">
        <f t="shared" ref="G168:G178" ca="1" si="13">H168/4</f>
        <v>821.81293182387901</v>
      </c>
      <c r="H168" s="471">
        <f t="shared" ref="H168:H178" ca="1" si="14">H149/12</f>
        <v>3287.251727295516</v>
      </c>
      <c r="I168" s="470"/>
    </row>
    <row r="169" spans="1:9" x14ac:dyDescent="0.3">
      <c r="A169" s="461">
        <f>VLOOKUP(B169,Lists!B65:D103,3,)</f>
        <v>10</v>
      </c>
      <c r="B169" s="461" t="s">
        <v>213</v>
      </c>
      <c r="C169" s="472">
        <v>2966</v>
      </c>
      <c r="D169" s="168">
        <v>90988461</v>
      </c>
      <c r="E169" s="470">
        <v>3</v>
      </c>
      <c r="F169" s="471">
        <f t="shared" ca="1" si="12"/>
        <v>19.83014810061276</v>
      </c>
      <c r="G169" s="169">
        <f t="shared" ca="1" si="13"/>
        <v>793.20592402451041</v>
      </c>
      <c r="H169" s="471">
        <f t="shared" ca="1" si="14"/>
        <v>3172.8236960980416</v>
      </c>
      <c r="I169" s="470"/>
    </row>
    <row r="170" spans="1:9" x14ac:dyDescent="0.3">
      <c r="A170" s="461">
        <f>VLOOKUP(B170,Lists!B66:D104,3,)</f>
        <v>2</v>
      </c>
      <c r="B170" s="461" t="s">
        <v>212</v>
      </c>
      <c r="C170" s="472">
        <v>13178</v>
      </c>
      <c r="D170" s="168">
        <v>448126641</v>
      </c>
      <c r="E170" s="470">
        <v>4</v>
      </c>
      <c r="F170" s="471">
        <f t="shared" ca="1" si="12"/>
        <v>26.464894136710161</v>
      </c>
      <c r="G170" s="169">
        <f t="shared" ca="1" si="13"/>
        <v>1058.5957654684064</v>
      </c>
      <c r="H170" s="471">
        <f t="shared" ca="1" si="14"/>
        <v>4234.3830618736256</v>
      </c>
      <c r="I170" s="470"/>
    </row>
    <row r="171" spans="1:9" x14ac:dyDescent="0.3">
      <c r="A171" s="461">
        <f>VLOOKUP(B171,Lists!B67:D105,3,)</f>
        <v>8</v>
      </c>
      <c r="B171" s="461" t="s">
        <v>211</v>
      </c>
      <c r="C171" s="472">
        <v>17188</v>
      </c>
      <c r="D171" s="168">
        <v>449151198</v>
      </c>
      <c r="E171" s="470">
        <v>5</v>
      </c>
      <c r="F171" s="471">
        <f t="shared" ca="1" si="12"/>
        <v>32.959770466754321</v>
      </c>
      <c r="G171" s="169">
        <f t="shared" ca="1" si="13"/>
        <v>1318.3908186701728</v>
      </c>
      <c r="H171" s="471">
        <f t="shared" ca="1" si="14"/>
        <v>5273.5632746806914</v>
      </c>
      <c r="I171" s="470"/>
    </row>
    <row r="172" spans="1:9" x14ac:dyDescent="0.3">
      <c r="A172" s="461">
        <f>VLOOKUP(B172,Lists!B68:D106,3,)</f>
        <v>2</v>
      </c>
      <c r="B172" s="461" t="s">
        <v>210</v>
      </c>
      <c r="C172" s="472">
        <v>5747</v>
      </c>
      <c r="D172" s="168">
        <v>175711041</v>
      </c>
      <c r="E172" s="470">
        <v>6</v>
      </c>
      <c r="F172" s="471">
        <f t="shared" ca="1" si="12"/>
        <v>22.415960227505661</v>
      </c>
      <c r="G172" s="169">
        <f t="shared" ca="1" si="13"/>
        <v>896.63840910022645</v>
      </c>
      <c r="H172" s="471">
        <f t="shared" ca="1" si="14"/>
        <v>3586.5536364009058</v>
      </c>
      <c r="I172" s="470"/>
    </row>
    <row r="173" spans="1:9" x14ac:dyDescent="0.3">
      <c r="A173" s="461">
        <f>VLOOKUP(B173,Lists!B69:D107,3,)</f>
        <v>10</v>
      </c>
      <c r="B173" s="461" t="s">
        <v>209</v>
      </c>
      <c r="C173" s="472">
        <v>2965</v>
      </c>
      <c r="D173" s="168">
        <v>113480488</v>
      </c>
      <c r="E173" s="470">
        <v>7</v>
      </c>
      <c r="F173" s="471">
        <f t="shared" ca="1" si="12"/>
        <v>21.914872852124724</v>
      </c>
      <c r="G173" s="169">
        <f t="shared" ca="1" si="13"/>
        <v>876.594914084989</v>
      </c>
      <c r="H173" s="471">
        <f t="shared" ca="1" si="14"/>
        <v>3506.379656339956</v>
      </c>
      <c r="I173" s="470"/>
    </row>
    <row r="174" spans="1:9" x14ac:dyDescent="0.3">
      <c r="A174" s="461">
        <f>VLOOKUP(B174,Lists!B70:D108,3,)</f>
        <v>6</v>
      </c>
      <c r="B174" s="461" t="s">
        <v>208</v>
      </c>
      <c r="C174" s="472">
        <v>260184</v>
      </c>
      <c r="D174" s="168">
        <v>11197966456</v>
      </c>
      <c r="E174" s="470">
        <v>8</v>
      </c>
      <c r="F174" s="471">
        <f t="shared" ca="1" si="12"/>
        <v>16.585937447567751</v>
      </c>
      <c r="G174" s="169">
        <f t="shared" ca="1" si="13"/>
        <v>663.43749790271011</v>
      </c>
      <c r="H174" s="471">
        <f t="shared" ca="1" si="14"/>
        <v>2653.7499916108404</v>
      </c>
      <c r="I174" s="470"/>
    </row>
    <row r="175" spans="1:9" x14ac:dyDescent="0.3">
      <c r="A175" s="461">
        <f>VLOOKUP(B175,Lists!B71:D109,3,)</f>
        <v>3</v>
      </c>
      <c r="B175" s="461" t="s">
        <v>207</v>
      </c>
      <c r="C175" s="472">
        <v>5104</v>
      </c>
      <c r="D175" s="168">
        <v>159273761</v>
      </c>
      <c r="E175" s="470">
        <v>9</v>
      </c>
      <c r="F175" s="471">
        <f t="shared" ca="1" si="12"/>
        <v>17.082978064643065</v>
      </c>
      <c r="G175" s="169">
        <f t="shared" ca="1" si="13"/>
        <v>683.31912258572265</v>
      </c>
      <c r="H175" s="471">
        <f t="shared" ca="1" si="14"/>
        <v>2733.2764903428906</v>
      </c>
      <c r="I175" s="470"/>
    </row>
    <row r="176" spans="1:9" x14ac:dyDescent="0.3">
      <c r="A176" s="461">
        <f>VLOOKUP(B176,Lists!B72:D110,3,)</f>
        <v>3</v>
      </c>
      <c r="B176" s="461" t="s">
        <v>206</v>
      </c>
      <c r="C176" s="472">
        <v>45391</v>
      </c>
      <c r="D176" s="168">
        <v>1721630673</v>
      </c>
      <c r="E176" s="470">
        <v>10</v>
      </c>
      <c r="F176" s="471">
        <f t="shared" ca="1" si="12"/>
        <v>18.594908636638483</v>
      </c>
      <c r="G176" s="169">
        <f t="shared" ca="1" si="13"/>
        <v>743.79634546553928</v>
      </c>
      <c r="H176" s="471">
        <f t="shared" ca="1" si="14"/>
        <v>2975.1853818621571</v>
      </c>
      <c r="I176" s="470"/>
    </row>
    <row r="177" spans="1:15" x14ac:dyDescent="0.3">
      <c r="A177" s="461">
        <f>VLOOKUP(B177,Lists!B73:D111,3,)</f>
        <v>9</v>
      </c>
      <c r="B177" s="461" t="s">
        <v>205</v>
      </c>
      <c r="C177" s="472">
        <v>2095</v>
      </c>
      <c r="D177" s="168">
        <v>68169440</v>
      </c>
      <c r="E177" s="470">
        <v>11</v>
      </c>
      <c r="F177" s="471">
        <f t="shared" ca="1" si="12"/>
        <v>24.069017509124912</v>
      </c>
      <c r="G177" s="169">
        <f t="shared" ca="1" si="13"/>
        <v>962.76070036499641</v>
      </c>
      <c r="H177" s="471">
        <f t="shared" ca="1" si="14"/>
        <v>3851.0428014599856</v>
      </c>
      <c r="I177" s="470"/>
    </row>
    <row r="178" spans="1:15" x14ac:dyDescent="0.3">
      <c r="A178" s="461">
        <f>VLOOKUP(B178,Lists!B74:D112,3,)</f>
        <v>4</v>
      </c>
      <c r="B178" s="461" t="s">
        <v>204</v>
      </c>
      <c r="C178" s="472">
        <v>246691</v>
      </c>
      <c r="D178" s="168">
        <v>12535010303</v>
      </c>
      <c r="E178" s="470">
        <v>12</v>
      </c>
      <c r="F178" s="471">
        <f t="shared" ca="1" si="12"/>
        <v>20.796541750030009</v>
      </c>
      <c r="G178" s="169">
        <f t="shared" ca="1" si="13"/>
        <v>831.86167000120031</v>
      </c>
      <c r="H178" s="471">
        <f t="shared" ca="1" si="14"/>
        <v>3327.4466800048012</v>
      </c>
      <c r="I178" s="470"/>
    </row>
    <row r="179" spans="1:15" x14ac:dyDescent="0.3">
      <c r="A179" s="461">
        <f>VLOOKUP(B179,Lists!B75:D113,3,)</f>
        <v>12</v>
      </c>
      <c r="B179" s="461" t="s">
        <v>203</v>
      </c>
      <c r="C179" s="472">
        <v>197179</v>
      </c>
      <c r="D179" s="168">
        <v>7873231307</v>
      </c>
      <c r="E179" s="470">
        <v>13</v>
      </c>
      <c r="F179" s="471">
        <f>G179/40</f>
        <v>26.179425279613952</v>
      </c>
      <c r="G179" s="169">
        <f>H179/4</f>
        <v>1047.1770111845581</v>
      </c>
      <c r="H179" s="471">
        <f>H160/12</f>
        <v>4188.7080447382323</v>
      </c>
      <c r="I179" s="461"/>
    </row>
    <row r="180" spans="1:15" x14ac:dyDescent="0.3">
      <c r="A180" s="461">
        <f>VLOOKUP(B180,Lists!B76:D114,3,)</f>
        <v>10</v>
      </c>
      <c r="B180" s="461" t="s">
        <v>202</v>
      </c>
      <c r="C180" s="472">
        <v>9696</v>
      </c>
      <c r="D180" s="168">
        <v>314143816</v>
      </c>
      <c r="E180" s="461"/>
      <c r="F180" s="461"/>
      <c r="G180" s="461"/>
      <c r="H180" s="461"/>
      <c r="I180" s="461"/>
    </row>
    <row r="181" spans="1:15" x14ac:dyDescent="0.3">
      <c r="A181" s="461">
        <f>VLOOKUP(B181,Lists!B77:D115,3,)</f>
        <v>2</v>
      </c>
      <c r="B181" s="461" t="s">
        <v>201</v>
      </c>
      <c r="C181" s="472">
        <v>96416</v>
      </c>
      <c r="D181" s="168">
        <v>4144345055</v>
      </c>
      <c r="E181" s="461"/>
      <c r="F181" s="461"/>
      <c r="G181" s="461"/>
      <c r="H181" s="461"/>
      <c r="I181" s="461"/>
    </row>
    <row r="182" spans="1:15" x14ac:dyDescent="0.3">
      <c r="A182" s="461">
        <f>VLOOKUP(B182,Lists!B78:D116,3,)</f>
        <v>7</v>
      </c>
      <c r="B182" s="461" t="s">
        <v>200</v>
      </c>
      <c r="C182" s="472">
        <v>718</v>
      </c>
      <c r="D182" s="168">
        <v>21842000</v>
      </c>
      <c r="E182" s="461"/>
      <c r="F182" s="461"/>
      <c r="G182" s="461"/>
      <c r="H182" s="461"/>
      <c r="I182" s="461"/>
    </row>
    <row r="183" spans="1:15" x14ac:dyDescent="0.3">
      <c r="A183" s="461">
        <f>VLOOKUP(B183,Lists!B79:D117,3,)</f>
        <v>10</v>
      </c>
      <c r="B183" s="461" t="s">
        <v>199</v>
      </c>
      <c r="C183" s="472">
        <v>26348</v>
      </c>
      <c r="D183" s="168">
        <v>968944625</v>
      </c>
      <c r="E183" s="461"/>
      <c r="F183" s="461"/>
      <c r="G183" s="461"/>
      <c r="H183" s="461"/>
      <c r="I183" s="461"/>
    </row>
    <row r="184" spans="1:15" x14ac:dyDescent="0.3">
      <c r="A184" s="461">
        <f>VLOOKUP(B184,Lists!B80:D118,3,)</f>
        <v>3</v>
      </c>
      <c r="B184" s="461" t="s">
        <v>198</v>
      </c>
      <c r="C184" s="472">
        <v>79285</v>
      </c>
      <c r="D184" s="168">
        <v>3119259218</v>
      </c>
      <c r="E184" s="461"/>
      <c r="F184" s="461"/>
      <c r="G184" s="461"/>
      <c r="H184" s="461"/>
      <c r="I184" s="461"/>
    </row>
    <row r="185" spans="1:15" x14ac:dyDescent="0.3">
      <c r="A185" s="461">
        <f>VLOOKUP(B185,Lists!B81:D119,3,)</f>
        <v>10</v>
      </c>
      <c r="B185" s="461" t="s">
        <v>197</v>
      </c>
      <c r="C185" s="472">
        <v>17143</v>
      </c>
      <c r="D185" s="168">
        <v>655994860</v>
      </c>
      <c r="E185" s="461"/>
      <c r="F185" s="461"/>
      <c r="G185" s="461"/>
      <c r="H185" s="461"/>
      <c r="I185" s="461"/>
    </row>
    <row r="186" spans="1:15" x14ac:dyDescent="0.3">
      <c r="A186" s="461">
        <f>VLOOKUP(B186,Lists!B82:D120,3,)</f>
        <v>9</v>
      </c>
      <c r="B186" s="461" t="s">
        <v>196</v>
      </c>
      <c r="C186" s="472">
        <v>101233</v>
      </c>
      <c r="D186" s="168">
        <v>3269846364</v>
      </c>
      <c r="E186" s="470"/>
      <c r="F186" s="471"/>
      <c r="G186" s="471"/>
      <c r="H186" s="471"/>
      <c r="I186" s="471"/>
    </row>
    <row r="187" spans="1:15" x14ac:dyDescent="0.3">
      <c r="A187" s="461" t="e">
        <f>VLOOKUP(B187,Lists!B83:D121,3,)</f>
        <v>#N/A</v>
      </c>
      <c r="B187" s="461" t="s">
        <v>265</v>
      </c>
      <c r="C187" s="472">
        <v>11198</v>
      </c>
      <c r="D187" s="168">
        <v>975736777</v>
      </c>
      <c r="E187" s="470"/>
      <c r="F187" s="471"/>
      <c r="G187" s="471"/>
      <c r="H187" s="471"/>
      <c r="I187" s="471"/>
    </row>
    <row r="188" spans="1:15" ht="19.5" thickBot="1" x14ac:dyDescent="0.35">
      <c r="A188" s="461"/>
      <c r="B188" s="461"/>
      <c r="C188" s="461"/>
      <c r="D188" s="461"/>
      <c r="E188" s="461"/>
      <c r="F188" s="461"/>
      <c r="G188" s="461"/>
      <c r="H188" s="461"/>
      <c r="I188" s="461"/>
      <c r="J188" s="461"/>
      <c r="K188" s="461"/>
      <c r="L188" s="461"/>
      <c r="M188" s="461"/>
      <c r="N188" s="470"/>
    </row>
    <row r="189" spans="1:15" ht="27.75" thickBot="1" x14ac:dyDescent="0.35">
      <c r="A189" s="487" t="s">
        <v>647</v>
      </c>
      <c r="B189" s="488" t="s">
        <v>648</v>
      </c>
      <c r="C189" s="488" t="s">
        <v>649</v>
      </c>
      <c r="D189" s="488" t="s">
        <v>650</v>
      </c>
      <c r="E189" s="488" t="s">
        <v>651</v>
      </c>
      <c r="F189" s="488" t="s">
        <v>652</v>
      </c>
      <c r="G189" s="488" t="s">
        <v>648</v>
      </c>
      <c r="H189" s="488" t="s">
        <v>649</v>
      </c>
      <c r="I189" s="488" t="s">
        <v>650</v>
      </c>
      <c r="J189" s="488" t="s">
        <v>651</v>
      </c>
      <c r="K189" s="488" t="s">
        <v>652</v>
      </c>
      <c r="L189" s="489" t="s">
        <v>653</v>
      </c>
      <c r="M189" s="489" t="s">
        <v>654</v>
      </c>
      <c r="N189" s="489" t="s">
        <v>656</v>
      </c>
      <c r="O189" s="489" t="s">
        <v>657</v>
      </c>
    </row>
    <row r="190" spans="1:15" x14ac:dyDescent="0.3">
      <c r="A190" s="490">
        <v>1</v>
      </c>
      <c r="B190" s="531">
        <v>541</v>
      </c>
      <c r="C190" s="531">
        <v>621</v>
      </c>
      <c r="D190" s="531">
        <v>623</v>
      </c>
      <c r="E190" s="531">
        <v>336</v>
      </c>
      <c r="F190" s="531">
        <v>484</v>
      </c>
      <c r="G190" s="193" t="str">
        <f>VLOOKUP(B190,Lists!$A$86:$B$185,2,)</f>
        <v xml:space="preserve">Professional, Scientific, and Technical Services </v>
      </c>
      <c r="H190" s="193" t="str">
        <f>VLOOKUP(C190,Lists!$A$86:$B$185,2,)</f>
        <v xml:space="preserve">Ambulatory Health Care Services </v>
      </c>
      <c r="I190" s="193" t="str">
        <f>VLOOKUP(D190,Lists!$A$86:$B$185,2,)</f>
        <v xml:space="preserve">Nursing and Residential Care Facilities </v>
      </c>
      <c r="J190" s="193" t="str">
        <f>VLOOKUP(E190,Lists!$A$86:$B$185,2,)</f>
        <v xml:space="preserve">Transportation Equipment Manufacturing </v>
      </c>
      <c r="K190" s="193" t="str">
        <f>VLOOKUP(F190,Lists!$A$86:$B$185,2,)</f>
        <v xml:space="preserve">Truck Transportation </v>
      </c>
      <c r="L190" s="193">
        <v>813</v>
      </c>
      <c r="M190" s="193" t="str">
        <f>VLOOKUP(L190,Lists!$A$86:$B$185,2,)</f>
        <v>Religious, Grantmaking, Civic, Professional, and Similar Organizations</v>
      </c>
      <c r="N190" s="193">
        <v>623</v>
      </c>
      <c r="O190" s="193" t="str">
        <f>VLOOKUP(N190,Lists!$A$86:$B$185,2,)</f>
        <v xml:space="preserve">Nursing and Residential Care Facilities </v>
      </c>
    </row>
    <row r="191" spans="1:15" x14ac:dyDescent="0.3">
      <c r="A191" s="490">
        <v>2</v>
      </c>
      <c r="B191" s="531">
        <v>561</v>
      </c>
      <c r="C191" s="531">
        <v>721</v>
      </c>
      <c r="D191" s="531">
        <v>624</v>
      </c>
      <c r="E191" s="531">
        <v>623</v>
      </c>
      <c r="F191" s="531">
        <v>321</v>
      </c>
      <c r="G191" s="193" t="str">
        <f>VLOOKUP(B191,Lists!$A$86:$B$185,2,)</f>
        <v xml:space="preserve">Administrative and Support Services </v>
      </c>
      <c r="H191" s="193" t="str">
        <f>VLOOKUP(C191,Lists!$A$86:$B$185,2,)</f>
        <v xml:space="preserve">Accommodation </v>
      </c>
      <c r="I191" s="193" t="str">
        <f>VLOOKUP(D191,Lists!$A$86:$B$185,2,)</f>
        <v xml:space="preserve">Social Assistance </v>
      </c>
      <c r="J191" s="193" t="str">
        <f>VLOOKUP(E191,Lists!$A$86:$B$185,2,)</f>
        <v xml:space="preserve">Nursing and Residential Care Facilities </v>
      </c>
      <c r="K191" s="193" t="str">
        <f>VLOOKUP(F191,Lists!$A$86:$B$185,2,)</f>
        <v xml:space="preserve">Wood Product Manufacturing </v>
      </c>
      <c r="L191" s="193">
        <v>813</v>
      </c>
      <c r="M191" s="193" t="str">
        <f>VLOOKUP(L191,Lists!$A$86:$B$185,2,)</f>
        <v>Religious, Grantmaking, Civic, Professional, and Similar Organizations</v>
      </c>
      <c r="N191" s="193">
        <v>541</v>
      </c>
      <c r="O191" s="193" t="str">
        <f>VLOOKUP(N191,Lists!$A$86:$B$185,2,)</f>
        <v xml:space="preserve">Professional, Scientific, and Technical Services </v>
      </c>
    </row>
    <row r="192" spans="1:15" x14ac:dyDescent="0.3">
      <c r="A192" s="490">
        <v>3</v>
      </c>
      <c r="B192" s="531">
        <v>324</v>
      </c>
      <c r="C192" s="531">
        <v>311</v>
      </c>
      <c r="D192" s="531">
        <v>321</v>
      </c>
      <c r="E192" s="531">
        <v>333</v>
      </c>
      <c r="F192" s="531">
        <v>326</v>
      </c>
      <c r="G192" s="193" t="str">
        <f>VLOOKUP(B192,Lists!$A$86:$B$185,2,)</f>
        <v xml:space="preserve">Petroleum and Coal Products Manufacturing </v>
      </c>
      <c r="H192" s="193" t="str">
        <f>VLOOKUP(C192,Lists!$A$86:$B$185,2,)</f>
        <v xml:space="preserve">Food Manufacturing </v>
      </c>
      <c r="I192" s="193" t="str">
        <f>VLOOKUP(D192,Lists!$A$86:$B$185,2,)</f>
        <v xml:space="preserve">Wood Product Manufacturing </v>
      </c>
      <c r="J192" s="193" t="str">
        <f>VLOOKUP(E192,Lists!$A$86:$B$185,2,)</f>
        <v xml:space="preserve">Machinery Manufacturing </v>
      </c>
      <c r="K192" s="193" t="str">
        <f>VLOOKUP(F192,Lists!$A$86:$B$185,2,)</f>
        <v xml:space="preserve">Plastics and Rubber Products Manufacturing </v>
      </c>
      <c r="L192" s="193">
        <v>311</v>
      </c>
      <c r="M192" s="193" t="str">
        <f>VLOOKUP(L192,Lists!$A$86:$B$185,2,)</f>
        <v xml:space="preserve">Food Manufacturing </v>
      </c>
      <c r="N192" s="193">
        <v>336</v>
      </c>
      <c r="O192" s="193" t="str">
        <f>VLOOKUP(N192,Lists!$A$86:$B$185,2,)</f>
        <v xml:space="preserve">Transportation Equipment Manufacturing </v>
      </c>
    </row>
    <row r="193" spans="1:15" x14ac:dyDescent="0.3">
      <c r="A193" s="490">
        <v>4</v>
      </c>
      <c r="B193" s="532">
        <v>336</v>
      </c>
      <c r="C193" s="531">
        <v>334</v>
      </c>
      <c r="D193" s="531">
        <v>336</v>
      </c>
      <c r="E193" s="531">
        <v>332</v>
      </c>
      <c r="F193" s="531">
        <v>337</v>
      </c>
      <c r="G193" s="193" t="str">
        <f>VLOOKUP(B193,Lists!$A$86:$B$185,2,)</f>
        <v xml:space="preserve">Transportation Equipment Manufacturing </v>
      </c>
      <c r="H193" s="193" t="str">
        <f>VLOOKUP(C193,Lists!$A$86:$B$185,2,)</f>
        <v xml:space="preserve">Computer and Electronic Product Manufacturing </v>
      </c>
      <c r="I193" s="193" t="str">
        <f>VLOOKUP(D193,Lists!$A$86:$B$185,2,)</f>
        <v xml:space="preserve">Transportation Equipment Manufacturing </v>
      </c>
      <c r="J193" s="193" t="str">
        <f>VLOOKUP(E193,Lists!$A$86:$B$185,2,)</f>
        <v xml:space="preserve">Fabricated Metal Product Manufacturing </v>
      </c>
      <c r="K193" s="193" t="str">
        <f>VLOOKUP(F193,Lists!$A$86:$B$185,2,)</f>
        <v xml:space="preserve">Furniture and Related Product Manufacturing </v>
      </c>
      <c r="L193" s="193">
        <v>447</v>
      </c>
      <c r="M193" s="193" t="str">
        <f>VLOOKUP(L193,Lists!$A$86:$B$185,2,)</f>
        <v xml:space="preserve">Gasoline Stations </v>
      </c>
      <c r="N193" s="193">
        <v>336</v>
      </c>
      <c r="O193" s="193" t="str">
        <f>VLOOKUP(N193,Lists!$A$86:$B$185,2,)</f>
        <v xml:space="preserve">Transportation Equipment Manufacturing </v>
      </c>
    </row>
    <row r="194" spans="1:15" x14ac:dyDescent="0.3">
      <c r="A194" s="490">
        <v>5</v>
      </c>
      <c r="B194" s="531">
        <v>541</v>
      </c>
      <c r="C194" s="531">
        <v>722</v>
      </c>
      <c r="D194" s="531">
        <v>561</v>
      </c>
      <c r="E194" s="531">
        <v>814</v>
      </c>
      <c r="F194" s="531">
        <v>621</v>
      </c>
      <c r="G194" s="193" t="str">
        <f>VLOOKUP(B194,Lists!$A$86:$B$185,2,)</f>
        <v xml:space="preserve">Professional, Scientific, and Technical Services </v>
      </c>
      <c r="H194" s="193" t="str">
        <f>VLOOKUP(C194,Lists!$A$86:$B$185,2,)</f>
        <v xml:space="preserve">Food Services and Drinking Places </v>
      </c>
      <c r="I194" s="193" t="str">
        <f>VLOOKUP(D194,Lists!$A$86:$B$185,2,)</f>
        <v xml:space="preserve">Administrative and Support Services </v>
      </c>
      <c r="J194" s="193" t="str">
        <f>VLOOKUP(E194,Lists!$A$86:$B$185,2,)</f>
        <v xml:space="preserve">Private Households </v>
      </c>
      <c r="K194" s="193" t="str">
        <f>VLOOKUP(F194,Lists!$A$86:$B$185,2,)</f>
        <v xml:space="preserve">Ambulatory Health Care Services </v>
      </c>
      <c r="L194" s="193">
        <v>713</v>
      </c>
      <c r="M194" s="193" t="str">
        <f>VLOOKUP(L194,Lists!$A$86:$B$185,2,)</f>
        <v xml:space="preserve">Amusement, Gambling, and Recreation Industries </v>
      </c>
      <c r="N194" s="193">
        <v>541</v>
      </c>
      <c r="O194" s="193" t="str">
        <f>VLOOKUP(N194,Lists!$A$86:$B$185,2,)</f>
        <v xml:space="preserve">Professional, Scientific, and Technical Services </v>
      </c>
    </row>
    <row r="195" spans="1:15" x14ac:dyDescent="0.3">
      <c r="A195" s="490">
        <v>6</v>
      </c>
      <c r="B195" s="491">
        <v>928</v>
      </c>
      <c r="C195" s="491">
        <v>561</v>
      </c>
      <c r="D195" s="491">
        <v>519</v>
      </c>
      <c r="E195" s="491">
        <v>236</v>
      </c>
      <c r="F195" s="491">
        <v>311</v>
      </c>
      <c r="G195" s="193" t="str">
        <f>VLOOKUP(B195,Lists!$A$86:$B$185,2,)</f>
        <v xml:space="preserve">National Security and International Affairs </v>
      </c>
      <c r="H195" s="193" t="str">
        <f>VLOOKUP(C195,Lists!$A$86:$B$185,2,)</f>
        <v xml:space="preserve">Administrative and Support Services </v>
      </c>
      <c r="I195" s="193" t="str">
        <f>VLOOKUP(D195,Lists!$A$86:$B$185,2,)</f>
        <v xml:space="preserve">Other Information Services </v>
      </c>
      <c r="J195" s="193" t="str">
        <f>VLOOKUP(E195,Lists!$A$86:$B$185,2,)</f>
        <v xml:space="preserve">Construction of Buildings </v>
      </c>
      <c r="K195" s="193" t="str">
        <f>VLOOKUP(F195,Lists!$A$86:$B$185,2,)</f>
        <v xml:space="preserve">Food Manufacturing </v>
      </c>
      <c r="L195" s="193">
        <v>623</v>
      </c>
      <c r="M195" s="193" t="str">
        <f>VLOOKUP(L195,Lists!$A$86:$B$185,2,)</f>
        <v xml:space="preserve">Nursing and Residential Care Facilities </v>
      </c>
      <c r="N195" s="193">
        <v>493</v>
      </c>
      <c r="O195" s="193" t="str">
        <f>VLOOKUP(N195,Lists!$A$86:$B$185,2,)</f>
        <v xml:space="preserve">Warehousing and Storage </v>
      </c>
    </row>
    <row r="196" spans="1:15" x14ac:dyDescent="0.3">
      <c r="A196" s="490">
        <v>7</v>
      </c>
      <c r="B196" s="491">
        <v>621</v>
      </c>
      <c r="C196" s="491">
        <v>333</v>
      </c>
      <c r="D196" s="491">
        <v>335</v>
      </c>
      <c r="E196" s="491">
        <v>517</v>
      </c>
      <c r="F196" s="491">
        <v>541</v>
      </c>
      <c r="G196" s="193" t="str">
        <f>VLOOKUP(B196,Lists!$A$86:$B$185,2,)</f>
        <v xml:space="preserve">Ambulatory Health Care Services </v>
      </c>
      <c r="H196" s="193" t="str">
        <f>VLOOKUP(C196,Lists!$A$86:$B$185,2,)</f>
        <v xml:space="preserve">Machinery Manufacturing </v>
      </c>
      <c r="I196" s="193" t="str">
        <f>VLOOKUP(D196,Lists!$A$86:$B$185,2,)</f>
        <v xml:space="preserve">Electrical Equipment, Appliance, and Component Manufacturing </v>
      </c>
      <c r="J196" s="193" t="str">
        <f>VLOOKUP(E196,Lists!$A$86:$B$185,2,)</f>
        <v xml:space="preserve">Telecommunications </v>
      </c>
      <c r="K196" s="193" t="str">
        <f>VLOOKUP(F196,Lists!$A$86:$B$185,2,)</f>
        <v xml:space="preserve">Professional, Scientific, and Technical Services </v>
      </c>
      <c r="L196" s="193">
        <v>622</v>
      </c>
      <c r="M196" s="193" t="str">
        <f>VLOOKUP(L196,Lists!$A$86:$B$185,2,)</f>
        <v xml:space="preserve">Hospitals </v>
      </c>
      <c r="N196" s="193">
        <v>452</v>
      </c>
      <c r="O196" s="193" t="str">
        <f>VLOOKUP(N196,Lists!$A$86:$B$185,2,)</f>
        <v xml:space="preserve">General Merchandise Stores </v>
      </c>
    </row>
    <row r="197" spans="1:15" x14ac:dyDescent="0.3">
      <c r="A197" s="490">
        <v>8</v>
      </c>
      <c r="B197" s="491">
        <v>111</v>
      </c>
      <c r="C197" s="491">
        <v>621</v>
      </c>
      <c r="D197" s="491">
        <v>115</v>
      </c>
      <c r="E197" s="491">
        <v>325</v>
      </c>
      <c r="F197" s="491">
        <v>221</v>
      </c>
      <c r="G197" s="193" t="str">
        <f>VLOOKUP(B197,Lists!$A$86:$B$185,2,)</f>
        <v xml:space="preserve">Crop Production </v>
      </c>
      <c r="H197" s="193" t="str">
        <f>VLOOKUP(C197,Lists!$A$86:$B$185,2,)</f>
        <v xml:space="preserve">Ambulatory Health Care Services </v>
      </c>
      <c r="I197" s="193" t="str">
        <f>VLOOKUP(D197,Lists!$A$86:$B$185,2,)</f>
        <v xml:space="preserve">Support Activities for Agriculture and Forestry </v>
      </c>
      <c r="J197" s="193" t="str">
        <f>VLOOKUP(E197,Lists!$A$86:$B$185,2,)</f>
        <v xml:space="preserve">Chemical Manufacturing </v>
      </c>
      <c r="K197" s="193" t="str">
        <f>VLOOKUP(F197,Lists!$A$86:$B$185,2,)</f>
        <v xml:space="preserve">Utilities </v>
      </c>
      <c r="L197" s="193">
        <v>424</v>
      </c>
      <c r="M197" s="193" t="str">
        <f>VLOOKUP(L197,Lists!$A$86:$B$185,2,)</f>
        <v xml:space="preserve">Merchant Wholesalers, Nondurable Goods </v>
      </c>
      <c r="N197" s="193">
        <v>115</v>
      </c>
      <c r="O197" s="193" t="str">
        <f>VLOOKUP(N197,Lists!$A$86:$B$185,2,)</f>
        <v xml:space="preserve">Support Activities for Agriculture and Forestry </v>
      </c>
    </row>
    <row r="198" spans="1:15" x14ac:dyDescent="0.3">
      <c r="A198" s="490">
        <v>9</v>
      </c>
      <c r="B198" s="531">
        <v>111</v>
      </c>
      <c r="C198" s="531">
        <v>115</v>
      </c>
      <c r="D198" s="531">
        <v>311</v>
      </c>
      <c r="E198" s="531">
        <v>621</v>
      </c>
      <c r="F198" s="531">
        <v>326</v>
      </c>
      <c r="G198" s="193" t="str">
        <f>VLOOKUP(B198,Lists!$A$86:$B$185,2,)</f>
        <v xml:space="preserve">Crop Production </v>
      </c>
      <c r="H198" s="193" t="str">
        <f>VLOOKUP(C198,Lists!$A$86:$B$185,2,)</f>
        <v xml:space="preserve">Support Activities for Agriculture and Forestry </v>
      </c>
      <c r="I198" s="193" t="str">
        <f>VLOOKUP(D198,Lists!$A$86:$B$185,2,)</f>
        <v xml:space="preserve">Food Manufacturing </v>
      </c>
      <c r="J198" s="193" t="str">
        <f>VLOOKUP(E198,Lists!$A$86:$B$185,2,)</f>
        <v xml:space="preserve">Ambulatory Health Care Services </v>
      </c>
      <c r="K198" s="193" t="str">
        <f>VLOOKUP(F198,Lists!$A$86:$B$185,2,)</f>
        <v xml:space="preserve">Plastics and Rubber Products Manufacturing </v>
      </c>
      <c r="L198" s="193">
        <v>713</v>
      </c>
      <c r="M198" s="193" t="str">
        <f>VLOOKUP(L198,Lists!$A$86:$B$185,2,)</f>
        <v xml:space="preserve">Amusement, Gambling, and Recreation Industries </v>
      </c>
      <c r="N198" s="193">
        <v>115</v>
      </c>
      <c r="O198" s="193" t="str">
        <f>VLOOKUP(N198,Lists!$A$86:$B$185,2,)</f>
        <v xml:space="preserve">Support Activities for Agriculture and Forestry </v>
      </c>
    </row>
    <row r="199" spans="1:15" x14ac:dyDescent="0.3">
      <c r="A199" s="490">
        <v>10</v>
      </c>
      <c r="B199" s="491">
        <v>111</v>
      </c>
      <c r="C199" s="491">
        <v>115</v>
      </c>
      <c r="D199" s="491">
        <v>621</v>
      </c>
      <c r="E199" s="491">
        <v>113</v>
      </c>
      <c r="F199" s="491">
        <v>212</v>
      </c>
      <c r="G199" s="193" t="str">
        <f>VLOOKUP(B199,Lists!$A$86:$B$185,2,)</f>
        <v xml:space="preserve">Crop Production </v>
      </c>
      <c r="H199" s="193" t="str">
        <f>VLOOKUP(C199,Lists!$A$86:$B$185,2,)</f>
        <v xml:space="preserve">Support Activities for Agriculture and Forestry </v>
      </c>
      <c r="I199" s="193" t="str">
        <f>VLOOKUP(D199,Lists!$A$86:$B$185,2,)</f>
        <v xml:space="preserve">Ambulatory Health Care Services </v>
      </c>
      <c r="J199" s="193" t="str">
        <f>VLOOKUP(E199,Lists!$A$86:$B$185,2,)</f>
        <v xml:space="preserve">Forestry and Logging </v>
      </c>
      <c r="K199" s="193" t="str">
        <f>VLOOKUP(F199,Lists!$A$86:$B$185,2,)</f>
        <v xml:space="preserve">Mining (except Oil and Gas) </v>
      </c>
      <c r="L199" s="193">
        <v>624</v>
      </c>
      <c r="M199" s="193" t="str">
        <f>VLOOKUP(L199,Lists!$A$86:$B$185,2,)</f>
        <v xml:space="preserve">Social Assistance </v>
      </c>
      <c r="N199" s="193">
        <v>561</v>
      </c>
      <c r="O199" s="193" t="str">
        <f>VLOOKUP(N199,Lists!$A$86:$B$185,2,)</f>
        <v xml:space="preserve">Administrative and Support Services </v>
      </c>
    </row>
    <row r="200" spans="1:15" x14ac:dyDescent="0.3">
      <c r="A200" s="490">
        <v>11</v>
      </c>
      <c r="B200" s="531">
        <v>562</v>
      </c>
      <c r="C200" s="531">
        <v>621</v>
      </c>
      <c r="D200" s="531">
        <v>541</v>
      </c>
      <c r="E200" s="531">
        <v>561</v>
      </c>
      <c r="F200" s="531">
        <v>331</v>
      </c>
      <c r="G200" s="193" t="str">
        <f>VLOOKUP(B200,Lists!$A$86:$B$185,2,)</f>
        <v xml:space="preserve">Waste Management and Remediation Services </v>
      </c>
      <c r="H200" s="193" t="str">
        <f>VLOOKUP(C200,Lists!$A$86:$B$185,2,)</f>
        <v xml:space="preserve">Ambulatory Health Care Services </v>
      </c>
      <c r="I200" s="193" t="str">
        <f>VLOOKUP(D200,Lists!$A$86:$B$185,2,)</f>
        <v xml:space="preserve">Professional, Scientific, and Technical Services </v>
      </c>
      <c r="J200" s="193" t="str">
        <f>VLOOKUP(E200,Lists!$A$86:$B$185,2,)</f>
        <v xml:space="preserve">Administrative and Support Services </v>
      </c>
      <c r="K200" s="193" t="str">
        <f>VLOOKUP(F200,Lists!$A$86:$B$185,2,)</f>
        <v xml:space="preserve">Primary Metal Manufacturing </v>
      </c>
      <c r="L200" s="193">
        <v>562</v>
      </c>
      <c r="M200" s="193" t="str">
        <f>VLOOKUP(L200,Lists!$A$86:$B$185,2,)</f>
        <v xml:space="preserve">Waste Management and Remediation Services </v>
      </c>
      <c r="N200" s="193">
        <v>561</v>
      </c>
      <c r="O200" s="193" t="str">
        <f>VLOOKUP(N200,Lists!$A$86:$B$185,2,)</f>
        <v xml:space="preserve">Administrative and Support Services </v>
      </c>
    </row>
    <row r="201" spans="1:15" x14ac:dyDescent="0.3">
      <c r="A201" s="490">
        <v>12</v>
      </c>
      <c r="B201" s="491">
        <v>621</v>
      </c>
      <c r="C201" s="491">
        <v>326</v>
      </c>
      <c r="D201" s="491">
        <v>331</v>
      </c>
      <c r="E201" s="491">
        <v>334</v>
      </c>
      <c r="F201" s="491">
        <v>541</v>
      </c>
      <c r="G201" s="193" t="str">
        <f>VLOOKUP(B201,Lists!$A$86:$B$185,2,)</f>
        <v xml:space="preserve">Ambulatory Health Care Services </v>
      </c>
      <c r="H201" s="193" t="str">
        <f>VLOOKUP(C201,Lists!$A$86:$B$185,2,)</f>
        <v xml:space="preserve">Plastics and Rubber Products Manufacturing </v>
      </c>
      <c r="I201" s="193" t="str">
        <f>VLOOKUP(D201,Lists!$A$86:$B$185,2,)</f>
        <v xml:space="preserve">Primary Metal Manufacturing </v>
      </c>
      <c r="J201" s="193" t="str">
        <f>VLOOKUP(E201,Lists!$A$86:$B$185,2,)</f>
        <v xml:space="preserve">Computer and Electronic Product Manufacturing </v>
      </c>
      <c r="K201" s="193" t="str">
        <f>VLOOKUP(F201,Lists!$A$86:$B$185,2,)</f>
        <v xml:space="preserve">Professional, Scientific, and Technical Services </v>
      </c>
      <c r="L201" s="193">
        <v>562</v>
      </c>
      <c r="M201" s="193" t="str">
        <f>VLOOKUP(L201,Lists!$A$86:$B$185,2,)</f>
        <v xml:space="preserve">Waste Management and Remediation Services </v>
      </c>
      <c r="N201" s="193">
        <v>561</v>
      </c>
      <c r="O201" s="193" t="str">
        <f>VLOOKUP(N201,Lists!$A$86:$B$185,2,)</f>
        <v xml:space="preserve">Administrative and Support Services </v>
      </c>
    </row>
    <row r="202" spans="1:15" x14ac:dyDescent="0.3">
      <c r="A202" s="490">
        <v>0</v>
      </c>
      <c r="B202" s="491">
        <v>621</v>
      </c>
      <c r="C202" s="491">
        <v>541</v>
      </c>
      <c r="D202" s="491">
        <v>336</v>
      </c>
      <c r="E202" s="491">
        <v>115</v>
      </c>
      <c r="F202" s="491">
        <v>236</v>
      </c>
      <c r="G202" s="193" t="str">
        <f>VLOOKUP(B202,Lists!$A$86:$B$185,2,)</f>
        <v xml:space="preserve">Ambulatory Health Care Services </v>
      </c>
      <c r="H202" s="193" t="str">
        <f>VLOOKUP(C202,Lists!$A$86:$B$185,2,)</f>
        <v xml:space="preserve">Professional, Scientific, and Technical Services </v>
      </c>
      <c r="I202" s="193" t="str">
        <f>VLOOKUP(D202,Lists!$A$86:$B$185,2,)</f>
        <v xml:space="preserve">Transportation Equipment Manufacturing </v>
      </c>
      <c r="J202" s="193" t="str">
        <f>VLOOKUP(E202,Lists!$A$86:$B$185,2,)</f>
        <v xml:space="preserve">Support Activities for Agriculture and Forestry </v>
      </c>
      <c r="K202" s="193" t="str">
        <f>VLOOKUP(F202,Lists!$A$86:$B$185,2,)</f>
        <v xml:space="preserve">Construction of Buildings </v>
      </c>
      <c r="L202" s="193">
        <v>624</v>
      </c>
      <c r="M202" s="193" t="str">
        <f>VLOOKUP(L202,Lists!$A$86:$B$185,2,)</f>
        <v xml:space="preserve">Social Assistance </v>
      </c>
      <c r="N202" s="193">
        <v>452</v>
      </c>
      <c r="O202" s="193" t="str">
        <f>VLOOKUP(N202,Lists!$A$86:$B$185,2,)</f>
        <v xml:space="preserve">General Merchandise Stores </v>
      </c>
    </row>
  </sheetData>
  <mergeCells count="4">
    <mergeCell ref="A1:L1"/>
    <mergeCell ref="A19:L19"/>
    <mergeCell ref="C20:F20"/>
    <mergeCell ref="A141:N141"/>
  </mergeCells>
  <conditionalFormatting sqref="D145:D187">
    <cfRule type="expression" dxfId="11" priority="1" stopIfTrue="1">
      <formula>#REF!="Not Suppressed"</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AK142"/>
  <sheetViews>
    <sheetView topLeftCell="A120" zoomScale="85" zoomScaleNormal="85" workbookViewId="0">
      <pane xSplit="1" topLeftCell="E1" activePane="topRight" state="frozen"/>
      <selection activeCell="F69" sqref="F69"/>
      <selection pane="topRight" activeCell="K140" sqref="K140"/>
    </sheetView>
  </sheetViews>
  <sheetFormatPr defaultRowHeight="18.75" x14ac:dyDescent="0.3"/>
  <cols>
    <col min="2" max="2" width="38" customWidth="1"/>
    <col min="3" max="3" width="18.59765625" customWidth="1"/>
    <col min="4" max="4" width="22.8984375" customWidth="1"/>
    <col min="5" max="5" width="27.19921875" customWidth="1"/>
    <col min="6" max="6" width="20" customWidth="1"/>
    <col min="7" max="7" width="24.296875" customWidth="1"/>
    <col min="8" max="8" width="20.796875" customWidth="1"/>
    <col min="9" max="9" width="14.69921875" customWidth="1"/>
    <col min="10" max="10" width="20.5" customWidth="1"/>
    <col min="11" max="11" width="22.69921875" customWidth="1"/>
    <col min="22" max="22" width="12.5" customWidth="1"/>
  </cols>
  <sheetData>
    <row r="1" spans="1:11" x14ac:dyDescent="0.3">
      <c r="C1" s="651" t="s">
        <v>698</v>
      </c>
      <c r="D1" s="651"/>
      <c r="E1" s="651"/>
      <c r="F1" s="651"/>
      <c r="G1" s="651"/>
      <c r="H1" s="651"/>
      <c r="I1" s="651"/>
      <c r="J1" s="651"/>
      <c r="K1" s="651"/>
    </row>
    <row r="2" spans="1:11" s="1" customFormat="1" ht="32.25" x14ac:dyDescent="0.3">
      <c r="A2" s="1" t="s">
        <v>239</v>
      </c>
      <c r="B2" s="120" t="s">
        <v>92</v>
      </c>
      <c r="C2" s="118" t="s">
        <v>1</v>
      </c>
      <c r="D2" s="118" t="s">
        <v>93</v>
      </c>
      <c r="E2" s="552" t="s">
        <v>94</v>
      </c>
      <c r="F2" s="118" t="s">
        <v>95</v>
      </c>
      <c r="G2" s="118" t="s">
        <v>96</v>
      </c>
      <c r="H2" s="119" t="s">
        <v>97</v>
      </c>
      <c r="I2" s="121" t="s">
        <v>98</v>
      </c>
      <c r="J2" s="118" t="s">
        <v>99</v>
      </c>
      <c r="K2" s="145" t="s">
        <v>3</v>
      </c>
    </row>
    <row r="3" spans="1:11" x14ac:dyDescent="0.3">
      <c r="A3">
        <v>0</v>
      </c>
      <c r="B3" s="101" t="s">
        <v>111</v>
      </c>
      <c r="C3" s="111">
        <v>161484</v>
      </c>
      <c r="D3" s="111">
        <v>301515</v>
      </c>
      <c r="E3" s="553">
        <f>Table1[[#This Row],[Entered Employment]]/Table1[[#This Row],[Entered Employment Base]]</f>
        <v>0.53557534451022337</v>
      </c>
      <c r="F3" s="111">
        <v>211074</v>
      </c>
      <c r="G3" s="111">
        <v>262931</v>
      </c>
      <c r="H3" s="554">
        <f>Table1[[#This Row],[Employment Retention]]/Table1[[#This Row],[Employment Retention Base]]</f>
        <v>0.80277335118339033</v>
      </c>
      <c r="I3" s="111">
        <v>3120154224</v>
      </c>
      <c r="J3" s="111">
        <v>209215</v>
      </c>
      <c r="K3" s="246">
        <f>Table1[[#This Row],[Total Earnings]]/Table1[[#This Row],[Average Earnings Base]]</f>
        <v>14913.625810768826</v>
      </c>
    </row>
    <row r="4" spans="1:11" x14ac:dyDescent="0.3">
      <c r="A4">
        <v>1</v>
      </c>
      <c r="B4" s="101" t="s">
        <v>86</v>
      </c>
      <c r="C4" s="111">
        <v>8252</v>
      </c>
      <c r="D4" s="111">
        <v>15795</v>
      </c>
      <c r="E4" s="553">
        <f>Table1[[#This Row],[Entered Employment]]/Table1[[#This Row],[Entered Employment Base]]</f>
        <v>0.52244381133270024</v>
      </c>
      <c r="F4" s="111">
        <v>7574</v>
      </c>
      <c r="G4" s="111">
        <v>9525</v>
      </c>
      <c r="H4" s="554">
        <f>Table1[[#This Row],[Employment Retention]]/Table1[[#This Row],[Employment Retention Base]]</f>
        <v>0.79517060367454073</v>
      </c>
      <c r="I4" s="111">
        <v>107245121</v>
      </c>
      <c r="J4" s="111">
        <v>7524</v>
      </c>
      <c r="K4" s="246">
        <f>Table1[[#This Row],[Total Earnings]]/Table1[[#This Row],[Average Earnings Base]]</f>
        <v>14253.737506645401</v>
      </c>
    </row>
    <row r="5" spans="1:11" x14ac:dyDescent="0.3">
      <c r="A5">
        <v>2</v>
      </c>
      <c r="B5" s="101" t="s">
        <v>104</v>
      </c>
      <c r="C5" s="111">
        <v>12829</v>
      </c>
      <c r="D5" s="111">
        <v>25061</v>
      </c>
      <c r="E5" s="553">
        <f>Table1[[#This Row],[Entered Employment]]/Table1[[#This Row],[Entered Employment Base]]</f>
        <v>0.51191093731295634</v>
      </c>
      <c r="F5" s="111">
        <v>12340</v>
      </c>
      <c r="G5" s="111">
        <v>15906</v>
      </c>
      <c r="H5" s="554">
        <f>Table1[[#This Row],[Employment Retention]]/Table1[[#This Row],[Employment Retention Base]]</f>
        <v>0.77580787124355588</v>
      </c>
      <c r="I5" s="111">
        <v>165067387</v>
      </c>
      <c r="J5" s="111">
        <v>12234</v>
      </c>
      <c r="K5" s="246">
        <f>Table1[[#This Row],[Total Earnings]]/Table1[[#This Row],[Average Earnings Base]]</f>
        <v>13492.511606996894</v>
      </c>
    </row>
    <row r="6" spans="1:11" x14ac:dyDescent="0.3">
      <c r="A6">
        <v>3</v>
      </c>
      <c r="B6" s="101" t="s">
        <v>103</v>
      </c>
      <c r="C6" s="111">
        <v>8889</v>
      </c>
      <c r="D6" s="111">
        <v>15853</v>
      </c>
      <c r="E6" s="553">
        <f>Table1[[#This Row],[Entered Employment]]/Table1[[#This Row],[Entered Employment Base]]</f>
        <v>0.56071406043020244</v>
      </c>
      <c r="F6" s="111">
        <v>9021</v>
      </c>
      <c r="G6" s="111">
        <v>11186</v>
      </c>
      <c r="H6" s="554">
        <f>Table1[[#This Row],[Employment Retention]]/Table1[[#This Row],[Employment Retention Base]]</f>
        <v>0.80645449669229397</v>
      </c>
      <c r="I6" s="111">
        <v>134406505</v>
      </c>
      <c r="J6" s="111">
        <v>8927</v>
      </c>
      <c r="K6" s="246">
        <f>Table1[[#This Row],[Total Earnings]]/Table1[[#This Row],[Average Earnings Base]]</f>
        <v>15056.178447406744</v>
      </c>
    </row>
    <row r="7" spans="1:11" x14ac:dyDescent="0.3">
      <c r="A7">
        <v>4</v>
      </c>
      <c r="B7" s="101" t="s">
        <v>106</v>
      </c>
      <c r="C7" s="111">
        <v>17146</v>
      </c>
      <c r="D7" s="111">
        <v>33828</v>
      </c>
      <c r="E7" s="553">
        <f>Table1[[#This Row],[Entered Employment]]/Table1[[#This Row],[Entered Employment Base]]</f>
        <v>0.50685822395648572</v>
      </c>
      <c r="F7" s="111">
        <v>15697</v>
      </c>
      <c r="G7" s="111">
        <v>19277</v>
      </c>
      <c r="H7" s="554">
        <f>Table1[[#This Row],[Employment Retention]]/Table1[[#This Row],[Employment Retention Base]]</f>
        <v>0.81428645536131139</v>
      </c>
      <c r="I7" s="111">
        <v>256747298</v>
      </c>
      <c r="J7" s="111">
        <v>15552</v>
      </c>
      <c r="K7" s="246">
        <f>Table1[[#This Row],[Total Earnings]]/Table1[[#This Row],[Average Earnings Base]]</f>
        <v>16508.956918724281</v>
      </c>
    </row>
    <row r="8" spans="1:11" x14ac:dyDescent="0.3">
      <c r="A8">
        <v>5</v>
      </c>
      <c r="B8" s="101" t="s">
        <v>105</v>
      </c>
      <c r="C8" s="111">
        <v>31573</v>
      </c>
      <c r="D8" s="111">
        <v>64379</v>
      </c>
      <c r="E8" s="553">
        <f>Table1[[#This Row],[Entered Employment]]/Table1[[#This Row],[Entered Employment Base]]</f>
        <v>0.49042389599092873</v>
      </c>
      <c r="F8" s="111">
        <v>28618</v>
      </c>
      <c r="G8" s="111">
        <v>35201</v>
      </c>
      <c r="H8" s="554">
        <f>Table1[[#This Row],[Employment Retention]]/Table1[[#This Row],[Employment Retention Base]]</f>
        <v>0.81298826737876762</v>
      </c>
      <c r="I8" s="111">
        <v>520051738</v>
      </c>
      <c r="J8" s="111">
        <v>28328</v>
      </c>
      <c r="K8" s="246">
        <f>Table1[[#This Row],[Total Earnings]]/Table1[[#This Row],[Average Earnings Base]]</f>
        <v>18358.222889014403</v>
      </c>
    </row>
    <row r="9" spans="1:11" x14ac:dyDescent="0.3">
      <c r="A9">
        <v>6</v>
      </c>
      <c r="B9" s="101" t="s">
        <v>110</v>
      </c>
      <c r="C9" s="111">
        <v>12655</v>
      </c>
      <c r="D9" s="111">
        <v>28254</v>
      </c>
      <c r="E9" s="553">
        <f>Table1[[#This Row],[Entered Employment]]/Table1[[#This Row],[Entered Employment Base]]</f>
        <v>0.44790118213350322</v>
      </c>
      <c r="F9" s="111">
        <v>13021</v>
      </c>
      <c r="G9" s="111">
        <v>16720</v>
      </c>
      <c r="H9" s="554">
        <f>Table1[[#This Row],[Employment Retention]]/Table1[[#This Row],[Employment Retention Base]]</f>
        <v>0.77876794258373205</v>
      </c>
      <c r="I9" s="111">
        <v>189293888</v>
      </c>
      <c r="J9" s="111">
        <v>12873</v>
      </c>
      <c r="K9" s="246">
        <f>Table1[[#This Row],[Total Earnings]]/Table1[[#This Row],[Average Earnings Base]]</f>
        <v>14704.722131593257</v>
      </c>
    </row>
    <row r="10" spans="1:11" x14ac:dyDescent="0.3">
      <c r="A10">
        <v>7</v>
      </c>
      <c r="B10" s="101" t="s">
        <v>108</v>
      </c>
      <c r="C10" s="111">
        <v>11111</v>
      </c>
      <c r="D10" s="111">
        <v>21469</v>
      </c>
      <c r="E10" s="553">
        <f>Table1[[#This Row],[Entered Employment]]/Table1[[#This Row],[Entered Employment Base]]</f>
        <v>0.51753691368950583</v>
      </c>
      <c r="F10" s="111">
        <v>11149</v>
      </c>
      <c r="G10" s="111">
        <v>13799</v>
      </c>
      <c r="H10" s="554">
        <f>Table1[[#This Row],[Employment Retention]]/Table1[[#This Row],[Employment Retention Base]]</f>
        <v>0.80795709834045948</v>
      </c>
      <c r="I10" s="111">
        <v>155842583</v>
      </c>
      <c r="J10" s="111">
        <v>11049</v>
      </c>
      <c r="K10" s="246">
        <f>Table1[[#This Row],[Total Earnings]]/Table1[[#This Row],[Average Earnings Base]]</f>
        <v>14104.677617883972</v>
      </c>
    </row>
    <row r="11" spans="1:11" x14ac:dyDescent="0.3">
      <c r="A11">
        <v>8</v>
      </c>
      <c r="B11" s="101" t="s">
        <v>102</v>
      </c>
      <c r="C11" s="111">
        <v>18773</v>
      </c>
      <c r="D11" s="111">
        <v>27922</v>
      </c>
      <c r="E11" s="553">
        <f>Table1[[#This Row],[Entered Employment]]/Table1[[#This Row],[Entered Employment Base]]</f>
        <v>0.67233722512713989</v>
      </c>
      <c r="F11" s="111">
        <v>18390</v>
      </c>
      <c r="G11" s="111">
        <v>23376</v>
      </c>
      <c r="H11" s="554">
        <f>Table1[[#This Row],[Employment Retention]]/Table1[[#This Row],[Employment Retention Base]]</f>
        <v>0.7867043121149897</v>
      </c>
      <c r="I11" s="111">
        <v>251975866</v>
      </c>
      <c r="J11" s="111">
        <v>18231</v>
      </c>
      <c r="K11" s="246">
        <f>Table1[[#This Row],[Total Earnings]]/Table1[[#This Row],[Average Earnings Base]]</f>
        <v>13821.286051231418</v>
      </c>
    </row>
    <row r="12" spans="1:11" x14ac:dyDescent="0.3">
      <c r="A12">
        <v>9</v>
      </c>
      <c r="B12" s="101" t="s">
        <v>107</v>
      </c>
      <c r="C12" s="111">
        <v>15021</v>
      </c>
      <c r="D12" s="111">
        <v>24566</v>
      </c>
      <c r="E12" s="553">
        <f>Table1[[#This Row],[Entered Employment]]/Table1[[#This Row],[Entered Employment Base]]</f>
        <v>0.61145485630546281</v>
      </c>
      <c r="F12" s="111">
        <v>14235</v>
      </c>
      <c r="G12" s="111">
        <v>18631</v>
      </c>
      <c r="H12" s="554">
        <f>Table1[[#This Row],[Employment Retention]]/Table1[[#This Row],[Employment Retention Base]]</f>
        <v>0.76404916536954537</v>
      </c>
      <c r="I12" s="111">
        <v>169869989</v>
      </c>
      <c r="J12" s="111">
        <v>14095</v>
      </c>
      <c r="K12" s="246">
        <f>Table1[[#This Row],[Total Earnings]]/Table1[[#This Row],[Average Earnings Base]]</f>
        <v>12051.790634976942</v>
      </c>
    </row>
    <row r="13" spans="1:11" x14ac:dyDescent="0.3">
      <c r="A13">
        <v>10</v>
      </c>
      <c r="B13" s="101" t="s">
        <v>101</v>
      </c>
      <c r="C13" s="111">
        <v>5786</v>
      </c>
      <c r="D13" s="111">
        <v>10207</v>
      </c>
      <c r="E13" s="553">
        <f>Table1[[#This Row],[Entered Employment]]/Table1[[#This Row],[Entered Employment Base]]</f>
        <v>0.56686587635936125</v>
      </c>
      <c r="F13" s="111">
        <v>5838</v>
      </c>
      <c r="G13" s="111">
        <v>7426</v>
      </c>
      <c r="H13" s="554">
        <f>Table1[[#This Row],[Employment Retention]]/Table1[[#This Row],[Employment Retention Base]]</f>
        <v>0.786156746566119</v>
      </c>
      <c r="I13" s="111">
        <v>75822403</v>
      </c>
      <c r="J13" s="111">
        <v>5803</v>
      </c>
      <c r="K13" s="246">
        <f>Table1[[#This Row],[Total Earnings]]/Table1[[#This Row],[Average Earnings Base]]</f>
        <v>13066.069791487162</v>
      </c>
    </row>
    <row r="14" spans="1:11" x14ac:dyDescent="0.3">
      <c r="A14">
        <v>11</v>
      </c>
      <c r="B14" s="101" t="s">
        <v>100</v>
      </c>
      <c r="C14" s="111">
        <v>9585</v>
      </c>
      <c r="D14" s="111">
        <v>15034</v>
      </c>
      <c r="E14" s="553">
        <f>Table1[[#This Row],[Entered Employment]]/Table1[[#This Row],[Entered Employment Base]]</f>
        <v>0.63755487561527202</v>
      </c>
      <c r="F14" s="111">
        <v>9505</v>
      </c>
      <c r="G14" s="111">
        <v>12002</v>
      </c>
      <c r="H14" s="554">
        <f>Table1[[#This Row],[Employment Retention]]/Table1[[#This Row],[Employment Retention Base]]</f>
        <v>0.79195134144309287</v>
      </c>
      <c r="I14" s="111">
        <v>132640862</v>
      </c>
      <c r="J14" s="111">
        <v>9426</v>
      </c>
      <c r="K14" s="246">
        <f>Table1[[#This Row],[Total Earnings]]/Table1[[#This Row],[Average Earnings Base]]</f>
        <v>14071.807977933377</v>
      </c>
    </row>
    <row r="15" spans="1:11" x14ac:dyDescent="0.3">
      <c r="A15">
        <v>12</v>
      </c>
      <c r="B15" s="101" t="s">
        <v>109</v>
      </c>
      <c r="C15" s="111">
        <v>9847</v>
      </c>
      <c r="D15" s="111">
        <v>19107</v>
      </c>
      <c r="E15" s="553">
        <f>Table1[[#This Row],[Entered Employment]]/Table1[[#This Row],[Entered Employment Base]]</f>
        <v>0.51536086251112156</v>
      </c>
      <c r="F15" s="111">
        <v>10075</v>
      </c>
      <c r="G15" s="111">
        <v>12650</v>
      </c>
      <c r="H15" s="554">
        <f>Table1[[#This Row],[Employment Retention]]/Table1[[#This Row],[Employment Retention Base]]</f>
        <v>0.79644268774703553</v>
      </c>
      <c r="I15" s="111">
        <v>131067473</v>
      </c>
      <c r="J15" s="111">
        <v>9975</v>
      </c>
      <c r="K15" s="246">
        <f>Table1[[#This Row],[Total Earnings]]/Table1[[#This Row],[Average Earnings Base]]</f>
        <v>13139.596290726817</v>
      </c>
    </row>
    <row r="16" spans="1:11" x14ac:dyDescent="0.3">
      <c r="B16" s="116" t="s">
        <v>164</v>
      </c>
      <c r="C16" s="163">
        <v>0.52</v>
      </c>
      <c r="D16" s="117" t="s">
        <v>165</v>
      </c>
      <c r="E16" s="163">
        <v>0.76600000000000001</v>
      </c>
      <c r="F16" s="117" t="s">
        <v>166</v>
      </c>
      <c r="G16" s="122">
        <v>13500</v>
      </c>
      <c r="H16" s="114"/>
      <c r="I16" s="115"/>
      <c r="J16" s="113"/>
      <c r="K16" s="115"/>
    </row>
    <row r="17" spans="1:37" x14ac:dyDescent="0.3">
      <c r="C17" s="652" t="s">
        <v>142</v>
      </c>
      <c r="D17" s="652"/>
      <c r="E17" s="652"/>
      <c r="F17" s="652"/>
      <c r="G17" s="652"/>
      <c r="H17" s="652"/>
      <c r="I17" s="652"/>
      <c r="J17" s="652"/>
      <c r="K17" s="652"/>
    </row>
    <row r="18" spans="1:37" s="1" customFormat="1" ht="63.75" x14ac:dyDescent="0.3">
      <c r="A18" s="545" t="s">
        <v>647</v>
      </c>
      <c r="B18" s="118" t="s">
        <v>143</v>
      </c>
      <c r="C18" s="118" t="s">
        <v>667</v>
      </c>
      <c r="D18" s="119" t="s">
        <v>144</v>
      </c>
      <c r="E18" s="119" t="s">
        <v>167</v>
      </c>
      <c r="F18" s="118" t="s">
        <v>170</v>
      </c>
      <c r="G18" s="118" t="s">
        <v>171</v>
      </c>
      <c r="H18" s="119" t="s">
        <v>172</v>
      </c>
      <c r="I18" s="119" t="s">
        <v>173</v>
      </c>
      <c r="J18" s="118" t="s">
        <v>174</v>
      </c>
      <c r="K18" s="118" t="s">
        <v>175</v>
      </c>
      <c r="L18" s="119" t="s">
        <v>176</v>
      </c>
      <c r="M18" s="119" t="s">
        <v>177</v>
      </c>
      <c r="N18" s="118" t="s">
        <v>145</v>
      </c>
      <c r="O18" s="118" t="s">
        <v>146</v>
      </c>
      <c r="P18" s="119" t="s">
        <v>147</v>
      </c>
      <c r="Q18" s="119" t="s">
        <v>168</v>
      </c>
      <c r="R18" s="118" t="s">
        <v>668</v>
      </c>
      <c r="S18" s="118" t="s">
        <v>669</v>
      </c>
      <c r="T18" s="119" t="s">
        <v>670</v>
      </c>
      <c r="U18" s="119" t="s">
        <v>671</v>
      </c>
      <c r="V18" s="118" t="s">
        <v>672</v>
      </c>
      <c r="W18" s="118" t="s">
        <v>673</v>
      </c>
      <c r="X18" s="119" t="s">
        <v>674</v>
      </c>
      <c r="Y18" s="119" t="s">
        <v>675</v>
      </c>
      <c r="Z18" s="546" t="s">
        <v>676</v>
      </c>
      <c r="AA18" s="546" t="s">
        <v>677</v>
      </c>
      <c r="AB18" s="546" t="s">
        <v>678</v>
      </c>
      <c r="AC18" s="546" t="s">
        <v>169</v>
      </c>
      <c r="AD18" s="547" t="s">
        <v>679</v>
      </c>
      <c r="AE18" s="547" t="s">
        <v>680</v>
      </c>
      <c r="AF18" s="547" t="s">
        <v>681</v>
      </c>
      <c r="AG18" s="547" t="s">
        <v>682</v>
      </c>
      <c r="AH18" s="547" t="s">
        <v>683</v>
      </c>
      <c r="AI18" s="547" t="s">
        <v>684</v>
      </c>
      <c r="AJ18" s="547" t="s">
        <v>685</v>
      </c>
      <c r="AK18" s="545" t="s">
        <v>686</v>
      </c>
    </row>
    <row r="19" spans="1:37" x14ac:dyDescent="0.3">
      <c r="A19" s="99">
        <v>0</v>
      </c>
      <c r="B19" s="125">
        <v>1841</v>
      </c>
      <c r="C19" s="125">
        <v>2450</v>
      </c>
      <c r="D19" s="126">
        <v>0.75142857142857145</v>
      </c>
      <c r="E19" s="210">
        <v>0.752</v>
      </c>
      <c r="F19" s="125">
        <v>2170</v>
      </c>
      <c r="G19" s="125">
        <v>2516</v>
      </c>
      <c r="H19" s="126">
        <v>0.86248012718600953</v>
      </c>
      <c r="I19" s="210">
        <v>0.81</v>
      </c>
      <c r="J19" s="127">
        <v>30567299</v>
      </c>
      <c r="K19" s="125">
        <v>2160</v>
      </c>
      <c r="L19" s="127">
        <v>14151.527314814815</v>
      </c>
      <c r="M19" s="211">
        <v>9456</v>
      </c>
      <c r="N19" s="125">
        <v>3037</v>
      </c>
      <c r="O19" s="125">
        <v>3709</v>
      </c>
      <c r="P19" s="126">
        <v>0.81881908870315445</v>
      </c>
      <c r="Q19" s="210">
        <v>0.73599999999999999</v>
      </c>
      <c r="R19" s="125">
        <v>2656</v>
      </c>
      <c r="S19" s="125">
        <v>2992</v>
      </c>
      <c r="T19" s="126">
        <v>0.88770053475935828</v>
      </c>
      <c r="U19" s="210">
        <v>0.83899999999999997</v>
      </c>
      <c r="V19" s="127">
        <v>52719035</v>
      </c>
      <c r="W19" s="125">
        <v>2630</v>
      </c>
      <c r="X19" s="127">
        <v>20045.260456273765</v>
      </c>
      <c r="Y19" s="211">
        <v>14043</v>
      </c>
      <c r="Z19" s="125">
        <v>1040</v>
      </c>
      <c r="AA19" s="125">
        <v>1401</v>
      </c>
      <c r="AB19" s="126">
        <v>0.74232690935046397</v>
      </c>
      <c r="AC19" s="210">
        <v>0.753</v>
      </c>
      <c r="AD19" s="128">
        <v>370</v>
      </c>
      <c r="AE19" s="128">
        <v>753</v>
      </c>
      <c r="AF19" s="126">
        <v>0.49136786188579018</v>
      </c>
      <c r="AG19" s="210">
        <v>0.44</v>
      </c>
      <c r="AH19" s="125">
        <v>1123</v>
      </c>
      <c r="AI19" s="125">
        <v>1671</v>
      </c>
      <c r="AJ19" s="126">
        <v>0.67205266307600242</v>
      </c>
      <c r="AK19" s="210">
        <v>0.53900000000000003</v>
      </c>
    </row>
    <row r="20" spans="1:37" x14ac:dyDescent="0.3">
      <c r="A20" s="99">
        <v>1</v>
      </c>
      <c r="B20" s="128">
        <v>118</v>
      </c>
      <c r="C20" s="128">
        <v>156</v>
      </c>
      <c r="D20" s="126">
        <v>0.75641025641025639</v>
      </c>
      <c r="E20" s="126">
        <v>0.77500000000000002</v>
      </c>
      <c r="F20" s="128">
        <v>124</v>
      </c>
      <c r="G20" s="128">
        <v>156</v>
      </c>
      <c r="H20" s="126">
        <v>0.79487179487179482</v>
      </c>
      <c r="I20" s="126">
        <v>0.82</v>
      </c>
      <c r="J20" s="127">
        <v>1731068</v>
      </c>
      <c r="K20" s="128">
        <v>121</v>
      </c>
      <c r="L20" s="127">
        <v>14306.347107438016</v>
      </c>
      <c r="M20" s="127">
        <v>9721</v>
      </c>
      <c r="N20" s="128">
        <v>168</v>
      </c>
      <c r="O20" s="128">
        <v>209</v>
      </c>
      <c r="P20" s="126">
        <v>0.80382775119617222</v>
      </c>
      <c r="Q20" s="210">
        <v>0.77400000000000002</v>
      </c>
      <c r="R20" s="128">
        <v>167</v>
      </c>
      <c r="S20" s="128">
        <v>196</v>
      </c>
      <c r="T20" s="126">
        <v>0.85204081632653061</v>
      </c>
      <c r="U20" s="210">
        <v>0.84199999999999997</v>
      </c>
      <c r="V20" s="127">
        <v>2620086</v>
      </c>
      <c r="W20" s="128">
        <v>155</v>
      </c>
      <c r="X20" s="127">
        <v>16903.780645161289</v>
      </c>
      <c r="Y20" s="211">
        <v>14926</v>
      </c>
      <c r="Z20" s="128">
        <v>46</v>
      </c>
      <c r="AA20" s="128">
        <v>66</v>
      </c>
      <c r="AB20" s="126">
        <v>0.69696969696969702</v>
      </c>
      <c r="AC20" s="210">
        <v>0.66500000000000004</v>
      </c>
      <c r="AD20" s="128">
        <v>8</v>
      </c>
      <c r="AE20" s="128">
        <v>20</v>
      </c>
      <c r="AF20" s="126">
        <v>0.4</v>
      </c>
      <c r="AG20" s="210">
        <v>0.34599999999999997</v>
      </c>
      <c r="AH20" s="128">
        <v>59</v>
      </c>
      <c r="AI20" s="128">
        <v>82</v>
      </c>
      <c r="AJ20" s="126">
        <v>0.71951219512195119</v>
      </c>
      <c r="AK20" s="210">
        <v>0.58799999999999997</v>
      </c>
    </row>
    <row r="21" spans="1:37" x14ac:dyDescent="0.3">
      <c r="A21" s="99">
        <v>2</v>
      </c>
      <c r="B21" s="128">
        <v>203</v>
      </c>
      <c r="C21" s="128">
        <v>265</v>
      </c>
      <c r="D21" s="126">
        <v>0.76603773584905666</v>
      </c>
      <c r="E21" s="210">
        <v>0.754</v>
      </c>
      <c r="F21" s="128">
        <v>250</v>
      </c>
      <c r="G21" s="128">
        <v>299</v>
      </c>
      <c r="H21" s="126">
        <v>0.83612040133779264</v>
      </c>
      <c r="I21" s="210">
        <v>0.81299999999999994</v>
      </c>
      <c r="J21" s="127">
        <v>3117715</v>
      </c>
      <c r="K21" s="128">
        <v>247</v>
      </c>
      <c r="L21" s="127">
        <v>12622.327935222673</v>
      </c>
      <c r="M21" s="211">
        <v>9735</v>
      </c>
      <c r="N21" s="128">
        <v>314</v>
      </c>
      <c r="O21" s="128">
        <v>382</v>
      </c>
      <c r="P21" s="126">
        <v>0.82198952879581155</v>
      </c>
      <c r="Q21" s="210">
        <v>0.72199999999999998</v>
      </c>
      <c r="R21" s="128">
        <v>228</v>
      </c>
      <c r="S21" s="128">
        <v>251</v>
      </c>
      <c r="T21" s="126">
        <v>0.9083665338645418</v>
      </c>
      <c r="U21" s="210">
        <v>0.81899999999999995</v>
      </c>
      <c r="V21" s="127">
        <v>3885152</v>
      </c>
      <c r="W21" s="128">
        <v>225</v>
      </c>
      <c r="X21" s="127">
        <v>17267.342222222222</v>
      </c>
      <c r="Y21" s="211">
        <v>13165</v>
      </c>
      <c r="Z21" s="128">
        <v>59</v>
      </c>
      <c r="AA21" s="128">
        <v>66</v>
      </c>
      <c r="AB21" s="126">
        <v>0.89393939393939392</v>
      </c>
      <c r="AC21" s="210">
        <v>0.72099999999999997</v>
      </c>
      <c r="AD21" s="128">
        <v>16</v>
      </c>
      <c r="AE21" s="128">
        <v>29</v>
      </c>
      <c r="AF21" s="126">
        <v>0.55172413793103448</v>
      </c>
      <c r="AG21" s="210">
        <v>0.496</v>
      </c>
      <c r="AH21" s="128">
        <v>77</v>
      </c>
      <c r="AI21" s="128">
        <v>92</v>
      </c>
      <c r="AJ21" s="126">
        <v>0.83695652173913049</v>
      </c>
      <c r="AK21" s="210">
        <v>0.51500000000000001</v>
      </c>
    </row>
    <row r="22" spans="1:37" x14ac:dyDescent="0.3">
      <c r="A22" s="99">
        <v>3</v>
      </c>
      <c r="B22" s="128">
        <v>70</v>
      </c>
      <c r="C22" s="128">
        <v>88</v>
      </c>
      <c r="D22" s="126">
        <v>0.79545454545454541</v>
      </c>
      <c r="E22" s="210">
        <v>0.73699999999999999</v>
      </c>
      <c r="F22" s="128">
        <v>102</v>
      </c>
      <c r="G22" s="128">
        <v>119</v>
      </c>
      <c r="H22" s="126">
        <v>0.8571428571428571</v>
      </c>
      <c r="I22" s="210">
        <v>0.83699999999999997</v>
      </c>
      <c r="J22" s="127">
        <v>1739050</v>
      </c>
      <c r="K22" s="128">
        <v>102</v>
      </c>
      <c r="L22" s="127">
        <v>17049.50980392157</v>
      </c>
      <c r="M22" s="211">
        <v>10267</v>
      </c>
      <c r="N22" s="128">
        <v>139</v>
      </c>
      <c r="O22" s="128">
        <v>176</v>
      </c>
      <c r="P22" s="126">
        <v>0.78977272727272729</v>
      </c>
      <c r="Q22" s="210">
        <v>0.72</v>
      </c>
      <c r="R22" s="128">
        <v>139</v>
      </c>
      <c r="S22" s="128">
        <v>156</v>
      </c>
      <c r="T22" s="126">
        <v>0.89102564102564108</v>
      </c>
      <c r="U22" s="210">
        <v>0.84199999999999997</v>
      </c>
      <c r="V22" s="127">
        <v>2528357</v>
      </c>
      <c r="W22" s="128">
        <v>139</v>
      </c>
      <c r="X22" s="127">
        <v>18189.618705035969</v>
      </c>
      <c r="Y22" s="211">
        <v>16298</v>
      </c>
      <c r="Z22" s="128">
        <v>69</v>
      </c>
      <c r="AA22" s="128">
        <v>74</v>
      </c>
      <c r="AB22" s="126">
        <v>0.93243243243243246</v>
      </c>
      <c r="AC22" s="210">
        <v>0.75600000000000001</v>
      </c>
      <c r="AD22" s="128">
        <v>9</v>
      </c>
      <c r="AE22" s="128">
        <v>14</v>
      </c>
      <c r="AF22" s="126">
        <v>0.6428571428571429</v>
      </c>
      <c r="AG22" s="210">
        <v>0.33400000000000002</v>
      </c>
      <c r="AH22" s="128">
        <v>68</v>
      </c>
      <c r="AI22" s="128">
        <v>80</v>
      </c>
      <c r="AJ22" s="126">
        <v>0.85</v>
      </c>
      <c r="AK22" s="210">
        <v>0.55000000000000004</v>
      </c>
    </row>
    <row r="23" spans="1:37" x14ac:dyDescent="0.3">
      <c r="A23" s="99">
        <v>4</v>
      </c>
      <c r="B23" s="128">
        <v>161</v>
      </c>
      <c r="C23" s="128">
        <v>228</v>
      </c>
      <c r="D23" s="126">
        <v>0.70614035087719296</v>
      </c>
      <c r="E23" s="210">
        <v>0.70699999999999996</v>
      </c>
      <c r="F23" s="128">
        <v>102</v>
      </c>
      <c r="G23" s="128">
        <v>115</v>
      </c>
      <c r="H23" s="126">
        <v>0.88695652173913042</v>
      </c>
      <c r="I23" s="210">
        <v>0.80900000000000005</v>
      </c>
      <c r="J23" s="127">
        <v>1664721</v>
      </c>
      <c r="K23" s="128">
        <v>102</v>
      </c>
      <c r="L23" s="127">
        <v>16320.794117647059</v>
      </c>
      <c r="M23" s="211">
        <v>9616</v>
      </c>
      <c r="N23" s="128">
        <v>400</v>
      </c>
      <c r="O23" s="128">
        <v>468</v>
      </c>
      <c r="P23" s="126">
        <v>0.85470085470085466</v>
      </c>
      <c r="Q23" s="212">
        <v>0.71099999999999997</v>
      </c>
      <c r="R23" s="128">
        <v>293</v>
      </c>
      <c r="S23" s="128">
        <v>314</v>
      </c>
      <c r="T23" s="126">
        <v>0.93312101910828027</v>
      </c>
      <c r="U23" s="210">
        <v>0.83499999999999996</v>
      </c>
      <c r="V23" s="127">
        <v>7545233</v>
      </c>
      <c r="W23" s="128">
        <v>293</v>
      </c>
      <c r="X23" s="127">
        <v>25751.648464163824</v>
      </c>
      <c r="Y23" s="211">
        <v>15913</v>
      </c>
      <c r="Z23" s="128">
        <v>34</v>
      </c>
      <c r="AA23" s="128">
        <v>130</v>
      </c>
      <c r="AB23" s="126">
        <v>0.26153846153846155</v>
      </c>
      <c r="AC23" s="210">
        <v>0.77700000000000002</v>
      </c>
      <c r="AD23" s="128">
        <v>14</v>
      </c>
      <c r="AE23" s="128">
        <v>22</v>
      </c>
      <c r="AF23" s="126">
        <v>0.63636363636363635</v>
      </c>
      <c r="AG23" s="210">
        <v>0.47599999999999998</v>
      </c>
      <c r="AH23" s="128">
        <v>50</v>
      </c>
      <c r="AI23" s="128">
        <v>128</v>
      </c>
      <c r="AJ23" s="126">
        <v>0.390625</v>
      </c>
      <c r="AK23" s="210">
        <v>0.47099999999999997</v>
      </c>
    </row>
    <row r="24" spans="1:37" x14ac:dyDescent="0.3">
      <c r="A24" s="99">
        <v>5</v>
      </c>
      <c r="B24" s="128">
        <v>251</v>
      </c>
      <c r="C24" s="128">
        <v>352</v>
      </c>
      <c r="D24" s="126">
        <v>0.71306818181818177</v>
      </c>
      <c r="E24" s="210">
        <v>0.71399999999999997</v>
      </c>
      <c r="F24" s="128">
        <v>362</v>
      </c>
      <c r="G24" s="128">
        <v>396</v>
      </c>
      <c r="H24" s="126">
        <v>0.91414141414141414</v>
      </c>
      <c r="I24" s="210">
        <v>0.81899999999999995</v>
      </c>
      <c r="J24" s="127">
        <v>5832294</v>
      </c>
      <c r="K24" s="128">
        <v>362</v>
      </c>
      <c r="L24" s="127">
        <v>16111.309392265193</v>
      </c>
      <c r="M24" s="211">
        <v>10744</v>
      </c>
      <c r="N24" s="128">
        <v>669</v>
      </c>
      <c r="O24" s="128">
        <v>856</v>
      </c>
      <c r="P24" s="126">
        <v>0.78154205607476634</v>
      </c>
      <c r="Q24" s="210">
        <v>0.67600000000000005</v>
      </c>
      <c r="R24" s="128">
        <v>552</v>
      </c>
      <c r="S24" s="128">
        <v>625</v>
      </c>
      <c r="T24" s="126">
        <v>0.88319999999999999</v>
      </c>
      <c r="U24" s="210">
        <v>0.83699999999999997</v>
      </c>
      <c r="V24" s="127">
        <v>13382114</v>
      </c>
      <c r="W24" s="128">
        <v>552</v>
      </c>
      <c r="X24" s="127">
        <v>24242.960144927536</v>
      </c>
      <c r="Y24" s="211">
        <v>16234</v>
      </c>
      <c r="Z24" s="128">
        <v>201</v>
      </c>
      <c r="AA24" s="128">
        <v>246</v>
      </c>
      <c r="AB24" s="126">
        <v>0.81707317073170727</v>
      </c>
      <c r="AC24" s="210">
        <v>0.75800000000000001</v>
      </c>
      <c r="AD24" s="128">
        <v>86</v>
      </c>
      <c r="AE24" s="128">
        <v>222</v>
      </c>
      <c r="AF24" s="126">
        <v>0.38738738738738737</v>
      </c>
      <c r="AG24" s="210">
        <v>0.40200000000000002</v>
      </c>
      <c r="AH24" s="128">
        <v>185</v>
      </c>
      <c r="AI24" s="128">
        <v>252</v>
      </c>
      <c r="AJ24" s="126">
        <v>0.73412698412698407</v>
      </c>
      <c r="AK24" s="210">
        <v>0.55000000000000004</v>
      </c>
    </row>
    <row r="25" spans="1:37" x14ac:dyDescent="0.3">
      <c r="A25" s="99">
        <v>6</v>
      </c>
      <c r="B25" s="128">
        <v>79</v>
      </c>
      <c r="C25" s="128">
        <v>98</v>
      </c>
      <c r="D25" s="126">
        <v>0.80612244897959184</v>
      </c>
      <c r="E25" s="210">
        <v>0.73199999999999998</v>
      </c>
      <c r="F25" s="128">
        <v>124</v>
      </c>
      <c r="G25" s="128">
        <v>141</v>
      </c>
      <c r="H25" s="126">
        <v>0.87943262411347523</v>
      </c>
      <c r="I25" s="210">
        <v>0.80900000000000005</v>
      </c>
      <c r="J25" s="127">
        <v>1884449</v>
      </c>
      <c r="K25" s="128">
        <v>124</v>
      </c>
      <c r="L25" s="127">
        <v>15197.16935483871</v>
      </c>
      <c r="M25" s="211">
        <v>9461</v>
      </c>
      <c r="N25" s="128">
        <v>177</v>
      </c>
      <c r="O25" s="128">
        <v>200</v>
      </c>
      <c r="P25" s="126">
        <v>0.88500000000000001</v>
      </c>
      <c r="Q25" s="126">
        <v>0.74399999999999999</v>
      </c>
      <c r="R25" s="128">
        <v>168</v>
      </c>
      <c r="S25" s="128">
        <v>190</v>
      </c>
      <c r="T25" s="126">
        <v>0.88421052631578945</v>
      </c>
      <c r="U25" s="210">
        <v>0.84099999999999997</v>
      </c>
      <c r="V25" s="127">
        <v>2934700</v>
      </c>
      <c r="W25" s="128">
        <v>168</v>
      </c>
      <c r="X25" s="127">
        <v>17468.452380952382</v>
      </c>
      <c r="Y25" s="211">
        <v>13763</v>
      </c>
      <c r="Z25" s="128">
        <v>83</v>
      </c>
      <c r="AA25" s="128">
        <v>132</v>
      </c>
      <c r="AB25" s="126">
        <v>0.62878787878787878</v>
      </c>
      <c r="AC25" s="210">
        <v>0.755</v>
      </c>
      <c r="AD25" s="128">
        <v>17</v>
      </c>
      <c r="AE25" s="128">
        <v>54</v>
      </c>
      <c r="AF25" s="126">
        <v>0.31481481481481483</v>
      </c>
      <c r="AG25" s="210">
        <v>0.438</v>
      </c>
      <c r="AH25" s="128">
        <v>117</v>
      </c>
      <c r="AI25" s="128">
        <v>187</v>
      </c>
      <c r="AJ25" s="126">
        <v>0.62566844919786091</v>
      </c>
      <c r="AK25" s="210">
        <v>0.55900000000000005</v>
      </c>
    </row>
    <row r="26" spans="1:37" x14ac:dyDescent="0.3">
      <c r="A26" s="99">
        <v>7</v>
      </c>
      <c r="B26" s="128">
        <v>423</v>
      </c>
      <c r="C26" s="128">
        <v>613</v>
      </c>
      <c r="D26" s="126">
        <v>0.69004893964110925</v>
      </c>
      <c r="E26" s="210">
        <v>0.67900000000000005</v>
      </c>
      <c r="F26" s="128">
        <v>503</v>
      </c>
      <c r="G26" s="128">
        <v>588</v>
      </c>
      <c r="H26" s="126">
        <v>0.85544217687074831</v>
      </c>
      <c r="I26" s="210">
        <v>0.755</v>
      </c>
      <c r="J26" s="127">
        <v>6567714</v>
      </c>
      <c r="K26" s="128">
        <v>503</v>
      </c>
      <c r="L26" s="127">
        <v>13057.085487077535</v>
      </c>
      <c r="M26" s="211">
        <v>6336</v>
      </c>
      <c r="N26" s="128">
        <v>413</v>
      </c>
      <c r="O26" s="128">
        <v>529</v>
      </c>
      <c r="P26" s="126">
        <v>0.78071833648393196</v>
      </c>
      <c r="Q26" s="210">
        <v>0.70299999999999996</v>
      </c>
      <c r="R26" s="128">
        <v>411</v>
      </c>
      <c r="S26" s="128">
        <v>468</v>
      </c>
      <c r="T26" s="126">
        <v>0.87820512820512819</v>
      </c>
      <c r="U26" s="210">
        <v>0.82099999999999995</v>
      </c>
      <c r="V26" s="127">
        <v>7354064</v>
      </c>
      <c r="W26" s="128">
        <v>410</v>
      </c>
      <c r="X26" s="127">
        <v>17936.741463414633</v>
      </c>
      <c r="Y26" s="211">
        <v>8730</v>
      </c>
      <c r="Z26" s="128">
        <v>133</v>
      </c>
      <c r="AA26" s="128">
        <v>160</v>
      </c>
      <c r="AB26" s="126">
        <v>0.83125000000000004</v>
      </c>
      <c r="AC26" s="210">
        <v>0.80600000000000005</v>
      </c>
      <c r="AD26" s="128">
        <v>32</v>
      </c>
      <c r="AE26" s="128">
        <v>57</v>
      </c>
      <c r="AF26" s="126">
        <v>0.56140350877192979</v>
      </c>
      <c r="AG26" s="210">
        <v>0.59199999999999997</v>
      </c>
      <c r="AH26" s="128">
        <v>130</v>
      </c>
      <c r="AI26" s="128">
        <v>177</v>
      </c>
      <c r="AJ26" s="126">
        <v>0.7344632768361582</v>
      </c>
      <c r="AK26" s="210">
        <v>0.42599999999999999</v>
      </c>
    </row>
    <row r="27" spans="1:37" x14ac:dyDescent="0.3">
      <c r="A27" s="99">
        <v>8</v>
      </c>
      <c r="B27" s="128">
        <v>116</v>
      </c>
      <c r="C27" s="128">
        <v>150</v>
      </c>
      <c r="D27" s="126">
        <v>0.77333333333333332</v>
      </c>
      <c r="E27" s="210">
        <v>0.78600000000000003</v>
      </c>
      <c r="F27" s="128">
        <v>139</v>
      </c>
      <c r="G27" s="128">
        <v>167</v>
      </c>
      <c r="H27" s="126">
        <v>0.83233532934131738</v>
      </c>
      <c r="I27" s="210">
        <v>0.85799999999999998</v>
      </c>
      <c r="J27" s="127">
        <v>1641882</v>
      </c>
      <c r="K27" s="128">
        <v>139</v>
      </c>
      <c r="L27" s="127">
        <v>11812.100719424461</v>
      </c>
      <c r="M27" s="211">
        <v>9976</v>
      </c>
      <c r="N27" s="128">
        <v>122</v>
      </c>
      <c r="O27" s="128">
        <v>160</v>
      </c>
      <c r="P27" s="126">
        <v>0.76249999999999996</v>
      </c>
      <c r="Q27" s="210">
        <v>0.76900000000000002</v>
      </c>
      <c r="R27" s="128">
        <v>125</v>
      </c>
      <c r="S27" s="128">
        <v>149</v>
      </c>
      <c r="T27" s="126">
        <v>0.83892617449664431</v>
      </c>
      <c r="U27" s="210">
        <v>0.83499999999999996</v>
      </c>
      <c r="V27" s="127">
        <v>2050230</v>
      </c>
      <c r="W27" s="128">
        <v>125</v>
      </c>
      <c r="X27" s="127">
        <v>16401.84</v>
      </c>
      <c r="Y27" s="211">
        <v>12502</v>
      </c>
      <c r="Z27" s="128">
        <v>77</v>
      </c>
      <c r="AA27" s="128">
        <v>93</v>
      </c>
      <c r="AB27" s="126">
        <v>0.82795698924731187</v>
      </c>
      <c r="AC27" s="210">
        <v>0.73599999999999999</v>
      </c>
      <c r="AD27" s="128">
        <v>61</v>
      </c>
      <c r="AE27" s="128">
        <v>101</v>
      </c>
      <c r="AF27" s="126">
        <v>0.60396039603960394</v>
      </c>
      <c r="AG27" s="210">
        <v>0.46100000000000002</v>
      </c>
      <c r="AH27" s="128">
        <v>87</v>
      </c>
      <c r="AI27" s="128">
        <v>133</v>
      </c>
      <c r="AJ27" s="126">
        <v>0.65413533834586468</v>
      </c>
      <c r="AK27" s="210">
        <v>0.53200000000000003</v>
      </c>
    </row>
    <row r="28" spans="1:37" x14ac:dyDescent="0.3">
      <c r="A28" s="99">
        <v>9</v>
      </c>
      <c r="B28" s="128">
        <v>83</v>
      </c>
      <c r="C28" s="128">
        <v>105</v>
      </c>
      <c r="D28" s="126">
        <v>0.79047619047619044</v>
      </c>
      <c r="E28" s="210">
        <v>0.82899999999999996</v>
      </c>
      <c r="F28" s="128">
        <v>102</v>
      </c>
      <c r="G28" s="128">
        <v>118</v>
      </c>
      <c r="H28" s="126">
        <v>0.86440677966101698</v>
      </c>
      <c r="I28" s="210">
        <v>0.82599999999999996</v>
      </c>
      <c r="J28" s="127">
        <v>1080822</v>
      </c>
      <c r="K28" s="128">
        <v>102</v>
      </c>
      <c r="L28" s="127">
        <v>10596.294117647059</v>
      </c>
      <c r="M28" s="211">
        <v>8973</v>
      </c>
      <c r="N28" s="128">
        <v>228</v>
      </c>
      <c r="O28" s="128">
        <v>268</v>
      </c>
      <c r="P28" s="126">
        <v>0.85074626865671643</v>
      </c>
      <c r="Q28" s="210">
        <v>0.76200000000000001</v>
      </c>
      <c r="R28" s="128">
        <v>166</v>
      </c>
      <c r="S28" s="128">
        <v>189</v>
      </c>
      <c r="T28" s="126">
        <v>0.87830687830687826</v>
      </c>
      <c r="U28" s="210">
        <v>0.85799999999999998</v>
      </c>
      <c r="V28" s="127">
        <v>2756340</v>
      </c>
      <c r="W28" s="128">
        <v>163</v>
      </c>
      <c r="X28" s="127">
        <v>16910.061349693253</v>
      </c>
      <c r="Y28" s="211">
        <v>13044</v>
      </c>
      <c r="Z28" s="128">
        <v>83</v>
      </c>
      <c r="AA28" s="128">
        <v>108</v>
      </c>
      <c r="AB28" s="126">
        <v>0.76851851851851849</v>
      </c>
      <c r="AC28" s="210">
        <v>0.72599999999999998</v>
      </c>
      <c r="AD28" s="128">
        <v>45</v>
      </c>
      <c r="AE28" s="128">
        <v>72</v>
      </c>
      <c r="AF28" s="126">
        <v>0.625</v>
      </c>
      <c r="AG28" s="210">
        <v>0.51800000000000002</v>
      </c>
      <c r="AH28" s="128">
        <v>59</v>
      </c>
      <c r="AI28" s="128">
        <v>115</v>
      </c>
      <c r="AJ28" s="126">
        <v>0.5130434782608696</v>
      </c>
      <c r="AK28" s="210">
        <v>0.52</v>
      </c>
    </row>
    <row r="29" spans="1:37" x14ac:dyDescent="0.3">
      <c r="A29" s="99">
        <v>10</v>
      </c>
      <c r="B29" s="128">
        <v>101</v>
      </c>
      <c r="C29" s="128">
        <v>120</v>
      </c>
      <c r="D29" s="126">
        <v>0.84166666666666667</v>
      </c>
      <c r="E29" s="210">
        <v>0.79500000000000004</v>
      </c>
      <c r="F29" s="128">
        <v>114</v>
      </c>
      <c r="G29" s="128">
        <v>137</v>
      </c>
      <c r="H29" s="126">
        <v>0.83211678832116787</v>
      </c>
      <c r="I29" s="210">
        <v>0.85199999999999998</v>
      </c>
      <c r="J29" s="127">
        <v>1509887</v>
      </c>
      <c r="K29" s="128">
        <v>114</v>
      </c>
      <c r="L29" s="127">
        <v>13244.622807017544</v>
      </c>
      <c r="M29" s="211">
        <v>8102</v>
      </c>
      <c r="N29" s="128">
        <v>87</v>
      </c>
      <c r="O29" s="128">
        <v>108</v>
      </c>
      <c r="P29" s="126">
        <v>0.80555555555555558</v>
      </c>
      <c r="Q29" s="210">
        <v>0.754</v>
      </c>
      <c r="R29" s="128">
        <v>100</v>
      </c>
      <c r="S29" s="128">
        <v>112</v>
      </c>
      <c r="T29" s="126">
        <v>0.8928571428571429</v>
      </c>
      <c r="U29" s="210">
        <v>0.86</v>
      </c>
      <c r="V29" s="127">
        <v>1917687</v>
      </c>
      <c r="W29" s="128">
        <v>100</v>
      </c>
      <c r="X29" s="127">
        <v>19176.87</v>
      </c>
      <c r="Y29" s="211">
        <v>15535</v>
      </c>
      <c r="Z29" s="128">
        <v>88</v>
      </c>
      <c r="AA29" s="128">
        <v>116</v>
      </c>
      <c r="AB29" s="126">
        <v>0.75862068965517238</v>
      </c>
      <c r="AC29" s="210">
        <v>0.77700000000000002</v>
      </c>
      <c r="AD29" s="128">
        <v>19</v>
      </c>
      <c r="AE29" s="128">
        <v>51</v>
      </c>
      <c r="AF29" s="126">
        <v>0.37254901960784315</v>
      </c>
      <c r="AG29" s="210">
        <v>0.498</v>
      </c>
      <c r="AH29" s="128">
        <v>95</v>
      </c>
      <c r="AI29" s="128">
        <v>142</v>
      </c>
      <c r="AJ29" s="126">
        <v>0.66901408450704225</v>
      </c>
      <c r="AK29" s="210">
        <v>0.53900000000000003</v>
      </c>
    </row>
    <row r="30" spans="1:37" x14ac:dyDescent="0.3">
      <c r="A30" s="99">
        <v>11</v>
      </c>
      <c r="B30" s="128">
        <v>78</v>
      </c>
      <c r="C30" s="128">
        <v>91</v>
      </c>
      <c r="D30" s="126">
        <v>0.8571428571428571</v>
      </c>
      <c r="E30" s="210">
        <v>0.84199999999999997</v>
      </c>
      <c r="F30" s="128">
        <v>76</v>
      </c>
      <c r="G30" s="128">
        <v>86</v>
      </c>
      <c r="H30" s="126">
        <v>0.88372093023255816</v>
      </c>
      <c r="I30" s="210">
        <v>0.84599999999999997</v>
      </c>
      <c r="J30" s="127">
        <v>839641</v>
      </c>
      <c r="K30" s="128">
        <v>75</v>
      </c>
      <c r="L30" s="127">
        <v>11195.213333333333</v>
      </c>
      <c r="M30" s="211">
        <v>13115</v>
      </c>
      <c r="N30" s="128">
        <v>75</v>
      </c>
      <c r="O30" s="128">
        <v>83</v>
      </c>
      <c r="P30" s="126">
        <v>0.90361445783132532</v>
      </c>
      <c r="Q30" s="210">
        <v>0.85899999999999999</v>
      </c>
      <c r="R30" s="128">
        <v>64</v>
      </c>
      <c r="S30" s="128">
        <v>70</v>
      </c>
      <c r="T30" s="126">
        <v>0.91428571428571426</v>
      </c>
      <c r="U30" s="210">
        <v>0.9</v>
      </c>
      <c r="V30" s="127">
        <v>1100735</v>
      </c>
      <c r="W30" s="128">
        <v>64</v>
      </c>
      <c r="X30" s="127">
        <v>17198.984375</v>
      </c>
      <c r="Y30" s="211">
        <v>18698</v>
      </c>
      <c r="Z30" s="128">
        <v>73</v>
      </c>
      <c r="AA30" s="128">
        <v>89</v>
      </c>
      <c r="AB30" s="126">
        <v>0.8202247191011236</v>
      </c>
      <c r="AC30" s="210">
        <v>0.73699999999999999</v>
      </c>
      <c r="AD30" s="128">
        <v>24</v>
      </c>
      <c r="AE30" s="128">
        <v>45</v>
      </c>
      <c r="AF30" s="126">
        <v>0.53333333333333333</v>
      </c>
      <c r="AG30" s="210">
        <v>0.43099999999999999</v>
      </c>
      <c r="AH30" s="128">
        <v>72</v>
      </c>
      <c r="AI30" s="128">
        <v>98</v>
      </c>
      <c r="AJ30" s="126">
        <v>0.73469387755102045</v>
      </c>
      <c r="AK30" s="210">
        <v>0.61899999999999999</v>
      </c>
    </row>
    <row r="31" spans="1:37" x14ac:dyDescent="0.3">
      <c r="A31" s="99">
        <v>12</v>
      </c>
      <c r="B31" s="128">
        <v>158</v>
      </c>
      <c r="C31" s="128">
        <v>184</v>
      </c>
      <c r="D31" s="126">
        <v>0.85869565217391308</v>
      </c>
      <c r="E31" s="210">
        <v>0.77800000000000002</v>
      </c>
      <c r="F31" s="128">
        <v>172</v>
      </c>
      <c r="G31" s="128">
        <v>194</v>
      </c>
      <c r="H31" s="126">
        <v>0.88659793814432986</v>
      </c>
      <c r="I31" s="210">
        <v>0.81599999999999995</v>
      </c>
      <c r="J31" s="127">
        <v>2958057</v>
      </c>
      <c r="K31" s="128">
        <v>169</v>
      </c>
      <c r="L31" s="127">
        <v>17503.295857988167</v>
      </c>
      <c r="M31" s="211">
        <v>8943</v>
      </c>
      <c r="N31" s="128">
        <v>236</v>
      </c>
      <c r="O31" s="128">
        <v>259</v>
      </c>
      <c r="P31" s="126">
        <v>0.91119691119691115</v>
      </c>
      <c r="Q31" s="210">
        <v>0.73499999999999999</v>
      </c>
      <c r="R31" s="128">
        <v>222</v>
      </c>
      <c r="S31" s="128">
        <v>249</v>
      </c>
      <c r="T31" s="126">
        <v>0.89156626506024095</v>
      </c>
      <c r="U31" s="210">
        <v>0.84099999999999997</v>
      </c>
      <c r="V31" s="127">
        <v>4181954</v>
      </c>
      <c r="W31" s="128">
        <v>215</v>
      </c>
      <c r="X31" s="127">
        <v>19450.948837209304</v>
      </c>
      <c r="Y31" s="211">
        <v>10916</v>
      </c>
      <c r="Z31" s="128">
        <v>94</v>
      </c>
      <c r="AA31" s="128">
        <v>121</v>
      </c>
      <c r="AB31" s="126">
        <v>0.77685950413223137</v>
      </c>
      <c r="AC31" s="210">
        <v>0.73499999999999999</v>
      </c>
      <c r="AD31" s="128">
        <v>39</v>
      </c>
      <c r="AE31" s="128">
        <v>66</v>
      </c>
      <c r="AF31" s="126">
        <v>0.59090909090909094</v>
      </c>
      <c r="AG31" s="210">
        <v>0.376</v>
      </c>
      <c r="AH31" s="128">
        <v>125</v>
      </c>
      <c r="AI31" s="128">
        <v>185</v>
      </c>
      <c r="AJ31" s="126">
        <v>0.67567567567567566</v>
      </c>
      <c r="AK31" s="210">
        <v>0.59099999999999997</v>
      </c>
    </row>
    <row r="32" spans="1:37" ht="21" x14ac:dyDescent="0.35">
      <c r="B32" s="653" t="s">
        <v>268</v>
      </c>
      <c r="C32" s="654"/>
      <c r="D32" s="654"/>
      <c r="E32" s="654"/>
      <c r="F32" s="655"/>
    </row>
    <row r="33" spans="2:6" x14ac:dyDescent="0.3">
      <c r="B33" s="200" t="s">
        <v>291</v>
      </c>
      <c r="C33" s="99" t="s">
        <v>148</v>
      </c>
      <c r="D33" s="99" t="s">
        <v>149</v>
      </c>
      <c r="E33" s="99" t="s">
        <v>91</v>
      </c>
      <c r="F33" s="201" t="s">
        <v>150</v>
      </c>
    </row>
    <row r="34" spans="2:6" x14ac:dyDescent="0.3">
      <c r="B34" s="202" t="s">
        <v>1</v>
      </c>
      <c r="C34" s="198">
        <f>'Area Data'!I4</f>
        <v>0.49042389599092873</v>
      </c>
      <c r="D34" s="99"/>
      <c r="E34" s="199">
        <f>C16</f>
        <v>0.52</v>
      </c>
      <c r="F34" s="201"/>
    </row>
    <row r="35" spans="2:6" x14ac:dyDescent="0.3">
      <c r="B35" s="202" t="s">
        <v>2</v>
      </c>
      <c r="C35" s="198">
        <f>'Area Data'!I10</f>
        <v>0.81298826737876762</v>
      </c>
      <c r="D35" s="99"/>
      <c r="E35" s="195">
        <f>E16</f>
        <v>0.76600000000000001</v>
      </c>
      <c r="F35" s="201"/>
    </row>
    <row r="36" spans="2:6" x14ac:dyDescent="0.3">
      <c r="B36" s="202" t="s">
        <v>3</v>
      </c>
      <c r="C36" s="198"/>
      <c r="D36" s="102">
        <f>'Area Data'!I16</f>
        <v>18358.222889014403</v>
      </c>
      <c r="E36" s="198"/>
      <c r="F36" s="203">
        <f>G16</f>
        <v>13500</v>
      </c>
    </row>
    <row r="37" spans="2:6" x14ac:dyDescent="0.3">
      <c r="B37" s="204"/>
      <c r="C37" s="99"/>
      <c r="D37" s="99"/>
      <c r="E37" s="99"/>
      <c r="F37" s="201"/>
    </row>
    <row r="38" spans="2:6" x14ac:dyDescent="0.3">
      <c r="B38" s="200" t="s">
        <v>10</v>
      </c>
      <c r="C38" s="99" t="s">
        <v>148</v>
      </c>
      <c r="D38" s="99" t="s">
        <v>149</v>
      </c>
      <c r="E38" s="99" t="s">
        <v>91</v>
      </c>
      <c r="F38" s="201" t="s">
        <v>150</v>
      </c>
    </row>
    <row r="39" spans="2:6" x14ac:dyDescent="0.3">
      <c r="B39" s="202" t="s">
        <v>1</v>
      </c>
      <c r="C39" s="198">
        <f>'Area Data'!I6</f>
        <v>0.71306818181818177</v>
      </c>
      <c r="D39" s="99"/>
      <c r="E39" s="198">
        <f>'Area Data'!J6</f>
        <v>0.71399999999999997</v>
      </c>
      <c r="F39" s="201"/>
    </row>
    <row r="40" spans="2:6" x14ac:dyDescent="0.3">
      <c r="B40" s="202" t="s">
        <v>2</v>
      </c>
      <c r="C40" s="198">
        <f>'Area Data'!I12</f>
        <v>0.91414141414141414</v>
      </c>
      <c r="D40" s="99"/>
      <c r="E40" s="198">
        <f>'Area Data'!J12</f>
        <v>0.81899999999999995</v>
      </c>
      <c r="F40" s="201"/>
    </row>
    <row r="41" spans="2:6" x14ac:dyDescent="0.3">
      <c r="B41" s="202" t="s">
        <v>3</v>
      </c>
      <c r="C41" s="198"/>
      <c r="D41" s="102">
        <f>'Area Data'!I18</f>
        <v>16111.309392265193</v>
      </c>
      <c r="E41" s="198"/>
      <c r="F41" s="203">
        <f>'Area Data'!J18</f>
        <v>10744</v>
      </c>
    </row>
    <row r="42" spans="2:6" x14ac:dyDescent="0.3">
      <c r="B42" s="204"/>
      <c r="C42" s="99"/>
      <c r="D42" s="99"/>
      <c r="E42" s="99"/>
      <c r="F42" s="201"/>
    </row>
    <row r="43" spans="2:6" x14ac:dyDescent="0.3">
      <c r="B43" s="200" t="s">
        <v>22</v>
      </c>
      <c r="C43" s="99" t="s">
        <v>148</v>
      </c>
      <c r="D43" s="99" t="s">
        <v>149</v>
      </c>
      <c r="E43" s="99" t="s">
        <v>91</v>
      </c>
      <c r="F43" s="201" t="s">
        <v>150</v>
      </c>
    </row>
    <row r="44" spans="2:6" x14ac:dyDescent="0.3">
      <c r="B44" s="202" t="s">
        <v>1</v>
      </c>
      <c r="C44" s="198">
        <f>'Area Data'!I8</f>
        <v>0.78154205607476634</v>
      </c>
      <c r="D44" s="99"/>
      <c r="E44" s="198">
        <f>'Area Data'!J8</f>
        <v>0.67600000000000005</v>
      </c>
      <c r="F44" s="201"/>
    </row>
    <row r="45" spans="2:6" x14ac:dyDescent="0.3">
      <c r="B45" s="202" t="s">
        <v>2</v>
      </c>
      <c r="C45" s="198">
        <f>'Area Data'!I14</f>
        <v>0.88319999999999999</v>
      </c>
      <c r="D45" s="99"/>
      <c r="E45" s="198">
        <f>'Area Data'!J14</f>
        <v>0.83699999999999997</v>
      </c>
      <c r="F45" s="201"/>
    </row>
    <row r="46" spans="2:6" x14ac:dyDescent="0.3">
      <c r="B46" s="202" t="s">
        <v>3</v>
      </c>
      <c r="C46" s="198"/>
      <c r="D46" s="102">
        <f>'Area Data'!I20</f>
        <v>24242.960144927536</v>
      </c>
      <c r="E46" s="198"/>
      <c r="F46" s="203">
        <f>'Area Data'!J20</f>
        <v>16234</v>
      </c>
    </row>
    <row r="47" spans="2:6" x14ac:dyDescent="0.3">
      <c r="B47" s="204"/>
      <c r="C47" s="99"/>
      <c r="D47" s="99"/>
      <c r="E47" s="99"/>
      <c r="F47" s="201"/>
    </row>
    <row r="48" spans="2:6" x14ac:dyDescent="0.3">
      <c r="B48" s="200"/>
      <c r="C48" s="99"/>
      <c r="D48" s="99"/>
      <c r="E48" s="99"/>
      <c r="F48" s="201"/>
    </row>
    <row r="49" spans="2:6" x14ac:dyDescent="0.3">
      <c r="B49" s="202"/>
      <c r="C49" s="198"/>
      <c r="D49" s="99"/>
      <c r="E49" s="198"/>
      <c r="F49" s="201"/>
    </row>
    <row r="50" spans="2:6" x14ac:dyDescent="0.3">
      <c r="B50" s="202" t="s">
        <v>267</v>
      </c>
      <c r="C50" s="198" t="s">
        <v>148</v>
      </c>
      <c r="D50" s="99" t="s">
        <v>149</v>
      </c>
      <c r="E50" s="198" t="s">
        <v>91</v>
      </c>
      <c r="F50" s="201" t="s">
        <v>150</v>
      </c>
    </row>
    <row r="51" spans="2:6" x14ac:dyDescent="0.3">
      <c r="B51" s="202" t="s">
        <v>1</v>
      </c>
      <c r="C51" s="198">
        <f>E3</f>
        <v>0.53557534451022337</v>
      </c>
      <c r="D51" s="102"/>
      <c r="E51" s="195">
        <f>C16</f>
        <v>0.52</v>
      </c>
      <c r="F51" s="203"/>
    </row>
    <row r="52" spans="2:6" x14ac:dyDescent="0.3">
      <c r="B52" s="204" t="s">
        <v>2</v>
      </c>
      <c r="C52" s="198">
        <f>H3</f>
        <v>0.80277335118339033</v>
      </c>
      <c r="D52" s="198"/>
      <c r="E52" s="195">
        <f>E16</f>
        <v>0.76600000000000001</v>
      </c>
      <c r="F52" s="201"/>
    </row>
    <row r="53" spans="2:6" x14ac:dyDescent="0.3">
      <c r="B53" s="204" t="s">
        <v>3</v>
      </c>
      <c r="C53" s="99"/>
      <c r="D53" s="102">
        <f>K3</f>
        <v>14913.625810768826</v>
      </c>
      <c r="E53" s="102"/>
      <c r="F53" s="203">
        <f>G16</f>
        <v>13500</v>
      </c>
    </row>
    <row r="54" spans="2:6" x14ac:dyDescent="0.3">
      <c r="B54" s="204"/>
      <c r="C54" s="99"/>
      <c r="D54" s="99"/>
      <c r="E54" s="99"/>
      <c r="F54" s="201"/>
    </row>
    <row r="55" spans="2:6" x14ac:dyDescent="0.3">
      <c r="B55" s="204" t="s">
        <v>10</v>
      </c>
      <c r="C55" s="99" t="s">
        <v>148</v>
      </c>
      <c r="D55" s="99" t="s">
        <v>149</v>
      </c>
      <c r="E55" s="99" t="s">
        <v>91</v>
      </c>
      <c r="F55" s="201" t="s">
        <v>150</v>
      </c>
    </row>
    <row r="56" spans="2:6" x14ac:dyDescent="0.3">
      <c r="B56" s="204" t="s">
        <v>1</v>
      </c>
      <c r="C56" s="198">
        <v>0.76053130929791268</v>
      </c>
      <c r="D56" s="198"/>
      <c r="E56" s="198">
        <v>0.752</v>
      </c>
      <c r="F56" s="205"/>
    </row>
    <row r="57" spans="2:6" x14ac:dyDescent="0.3">
      <c r="B57" s="204" t="s">
        <v>2</v>
      </c>
      <c r="C57" s="198">
        <v>0.84326923076923077</v>
      </c>
      <c r="D57" s="198"/>
      <c r="E57" s="198">
        <v>0.81</v>
      </c>
      <c r="F57" s="205"/>
    </row>
    <row r="58" spans="2:6" x14ac:dyDescent="0.3">
      <c r="B58" s="204" t="s">
        <v>3</v>
      </c>
      <c r="C58" s="99"/>
      <c r="D58" s="102">
        <v>12917.811494252874</v>
      </c>
      <c r="E58" s="102"/>
      <c r="F58" s="203">
        <v>9456</v>
      </c>
    </row>
    <row r="59" spans="2:6" x14ac:dyDescent="0.3">
      <c r="B59" s="204"/>
      <c r="C59" s="99"/>
      <c r="D59" s="99"/>
      <c r="E59" s="99"/>
      <c r="F59" s="201"/>
    </row>
    <row r="60" spans="2:6" x14ac:dyDescent="0.3">
      <c r="B60" s="204" t="s">
        <v>22</v>
      </c>
      <c r="C60" s="99" t="s">
        <v>148</v>
      </c>
      <c r="D60" s="99" t="s">
        <v>149</v>
      </c>
      <c r="E60" s="99" t="s">
        <v>91</v>
      </c>
      <c r="F60" s="201" t="s">
        <v>150</v>
      </c>
    </row>
    <row r="61" spans="2:6" x14ac:dyDescent="0.3">
      <c r="B61" s="204" t="s">
        <v>1</v>
      </c>
      <c r="C61" s="198">
        <v>0.82210812443370584</v>
      </c>
      <c r="D61" s="198"/>
      <c r="E61" s="198">
        <v>0.73599999999999999</v>
      </c>
      <c r="F61" s="205"/>
    </row>
    <row r="62" spans="2:6" x14ac:dyDescent="0.3">
      <c r="B62" s="204" t="s">
        <v>2</v>
      </c>
      <c r="C62" s="198">
        <v>0.88728813559322028</v>
      </c>
      <c r="D62" s="198"/>
      <c r="E62" s="198">
        <v>0.83899999999999997</v>
      </c>
      <c r="F62" s="205"/>
    </row>
    <row r="63" spans="2:6" ht="19.5" thickBot="1" x14ac:dyDescent="0.35">
      <c r="B63" s="206" t="s">
        <v>3</v>
      </c>
      <c r="C63" s="207"/>
      <c r="D63" s="208">
        <v>14043</v>
      </c>
      <c r="E63" s="208"/>
      <c r="F63" s="209">
        <v>14043</v>
      </c>
    </row>
    <row r="66" spans="2:8" x14ac:dyDescent="0.3">
      <c r="E66" s="288">
        <v>0.53</v>
      </c>
      <c r="F66" s="288">
        <v>0.79900000000000004</v>
      </c>
      <c r="G66" s="289">
        <v>14676.63</v>
      </c>
    </row>
    <row r="67" spans="2:8" ht="19.5" thickBot="1" x14ac:dyDescent="0.35"/>
    <row r="68" spans="2:8" x14ac:dyDescent="0.3">
      <c r="B68" s="216" t="s">
        <v>410</v>
      </c>
      <c r="C68" s="218"/>
      <c r="D68" s="218"/>
      <c r="E68" s="218"/>
      <c r="F68" s="218"/>
      <c r="G68" s="219"/>
      <c r="H68" s="218"/>
    </row>
    <row r="69" spans="2:8" x14ac:dyDescent="0.3">
      <c r="B69" s="204" t="s">
        <v>432</v>
      </c>
      <c r="C69" s="191" t="s">
        <v>1</v>
      </c>
      <c r="D69" s="191" t="s">
        <v>3</v>
      </c>
      <c r="E69" s="191" t="s">
        <v>435</v>
      </c>
      <c r="F69" s="191" t="s">
        <v>411</v>
      </c>
      <c r="G69" s="237" t="s">
        <v>412</v>
      </c>
      <c r="H69" s="191" t="s">
        <v>605</v>
      </c>
    </row>
    <row r="70" spans="2:8" x14ac:dyDescent="0.3">
      <c r="B70" s="204" t="s">
        <v>433</v>
      </c>
      <c r="C70" s="194">
        <v>0.68952328550196096</v>
      </c>
      <c r="D70" s="102">
        <v>13274</v>
      </c>
      <c r="E70" s="192">
        <v>0.82</v>
      </c>
      <c r="F70" s="99"/>
      <c r="G70" s="201"/>
      <c r="H70" s="99"/>
    </row>
    <row r="71" spans="2:8" x14ac:dyDescent="0.3">
      <c r="B71" s="204" t="s">
        <v>434</v>
      </c>
      <c r="C71" s="194">
        <v>0.6916225708928907</v>
      </c>
      <c r="D71" s="102">
        <v>13299</v>
      </c>
      <c r="E71" s="192">
        <v>0.82</v>
      </c>
      <c r="F71" s="99"/>
      <c r="G71" s="201"/>
      <c r="H71" s="99"/>
    </row>
    <row r="72" spans="2:8" x14ac:dyDescent="0.3">
      <c r="B72" s="238" t="s">
        <v>413</v>
      </c>
      <c r="C72" s="194">
        <v>0.69261817104960099</v>
      </c>
      <c r="D72" s="102">
        <v>13305</v>
      </c>
      <c r="E72" s="192">
        <v>0.82</v>
      </c>
      <c r="F72" s="99"/>
      <c r="G72" s="201"/>
      <c r="H72" s="99"/>
    </row>
    <row r="73" spans="2:8" x14ac:dyDescent="0.3">
      <c r="B73" s="238" t="s">
        <v>414</v>
      </c>
      <c r="C73" s="194">
        <v>0.68441981599219814</v>
      </c>
      <c r="D73" s="102">
        <v>13335</v>
      </c>
      <c r="E73" s="192">
        <v>0.82</v>
      </c>
      <c r="F73" s="99"/>
      <c r="G73" s="201"/>
      <c r="H73" s="99"/>
    </row>
    <row r="74" spans="2:8" x14ac:dyDescent="0.3">
      <c r="B74" s="238" t="s">
        <v>415</v>
      </c>
      <c r="C74" s="194">
        <v>0.70230543699546455</v>
      </c>
      <c r="D74" s="102">
        <v>13780</v>
      </c>
      <c r="E74" s="192">
        <v>0.83</v>
      </c>
      <c r="F74" s="99"/>
      <c r="G74" s="201"/>
      <c r="H74" s="99"/>
    </row>
    <row r="75" spans="2:8" x14ac:dyDescent="0.3">
      <c r="B75" s="238" t="s">
        <v>416</v>
      </c>
      <c r="C75" s="194">
        <v>0.70275869240059829</v>
      </c>
      <c r="D75" s="102">
        <v>14077</v>
      </c>
      <c r="E75" s="192">
        <v>0.83</v>
      </c>
      <c r="F75" s="99"/>
      <c r="G75" s="201"/>
      <c r="H75" s="99"/>
    </row>
    <row r="76" spans="2:8" x14ac:dyDescent="0.3">
      <c r="B76" s="238" t="s">
        <v>417</v>
      </c>
      <c r="C76" s="194">
        <v>0.7044143522582067</v>
      </c>
      <c r="D76" s="102">
        <v>14193</v>
      </c>
      <c r="E76" s="192">
        <v>0.83</v>
      </c>
      <c r="F76" s="99"/>
      <c r="G76" s="201"/>
      <c r="H76" s="99"/>
    </row>
    <row r="77" spans="2:8" x14ac:dyDescent="0.3">
      <c r="B77" s="238" t="s">
        <v>418</v>
      </c>
      <c r="C77" s="194">
        <v>0.69720836153886689</v>
      </c>
      <c r="D77" s="102">
        <v>14352</v>
      </c>
      <c r="E77" s="192">
        <v>0.83</v>
      </c>
      <c r="F77" s="99"/>
      <c r="G77" s="201"/>
      <c r="H77" s="99"/>
    </row>
    <row r="78" spans="2:8" x14ac:dyDescent="0.3">
      <c r="B78" s="238" t="s">
        <v>419</v>
      </c>
      <c r="C78" s="194">
        <v>0.68748367293625912</v>
      </c>
      <c r="D78" s="102">
        <v>14403</v>
      </c>
      <c r="E78" s="192">
        <v>0.83</v>
      </c>
      <c r="F78" s="99"/>
      <c r="G78" s="201"/>
      <c r="H78" s="99"/>
    </row>
    <row r="79" spans="2:8" x14ac:dyDescent="0.3">
      <c r="B79" s="238" t="s">
        <v>420</v>
      </c>
      <c r="C79" s="194">
        <v>0.6644409294163578</v>
      </c>
      <c r="D79" s="102">
        <v>14370</v>
      </c>
      <c r="E79" s="192">
        <v>0.82</v>
      </c>
      <c r="F79" s="99"/>
      <c r="G79" s="201"/>
      <c r="H79" s="99"/>
    </row>
    <row r="80" spans="2:8" x14ac:dyDescent="0.3">
      <c r="B80" s="238" t="s">
        <v>421</v>
      </c>
      <c r="C80" s="194">
        <v>0.62050102010621566</v>
      </c>
      <c r="D80" s="102">
        <v>14382</v>
      </c>
      <c r="E80" s="192">
        <v>0.81</v>
      </c>
      <c r="F80" s="194">
        <v>0.52</v>
      </c>
      <c r="G80" s="203">
        <v>13500</v>
      </c>
      <c r="H80" s="194">
        <v>0.76600000000000001</v>
      </c>
    </row>
    <row r="81" spans="1:11" x14ac:dyDescent="0.3">
      <c r="B81" s="238" t="s">
        <v>422</v>
      </c>
      <c r="C81" s="194">
        <v>0.57360719677446481</v>
      </c>
      <c r="D81" s="102">
        <v>14233</v>
      </c>
      <c r="E81" s="192">
        <v>0.79</v>
      </c>
      <c r="F81" s="194">
        <v>0.52</v>
      </c>
      <c r="G81" s="203">
        <v>13500</v>
      </c>
      <c r="H81" s="194">
        <v>0.76600000000000001</v>
      </c>
    </row>
    <row r="82" spans="1:11" x14ac:dyDescent="0.3">
      <c r="B82" s="238" t="s">
        <v>423</v>
      </c>
      <c r="C82" s="194">
        <v>0.53713615991776253</v>
      </c>
      <c r="D82" s="102">
        <v>14114</v>
      </c>
      <c r="E82" s="192">
        <v>0.78</v>
      </c>
      <c r="F82" s="194">
        <v>0.52</v>
      </c>
      <c r="G82" s="203">
        <v>13500</v>
      </c>
      <c r="H82" s="194">
        <v>0.76600000000000001</v>
      </c>
    </row>
    <row r="83" spans="1:11" x14ac:dyDescent="0.3">
      <c r="B83" s="238" t="s">
        <v>424</v>
      </c>
      <c r="C83" s="194">
        <v>0.50865471498747639</v>
      </c>
      <c r="D83" s="102">
        <v>14148</v>
      </c>
      <c r="E83" s="192">
        <v>0.77</v>
      </c>
      <c r="F83" s="194">
        <v>0.52</v>
      </c>
      <c r="G83" s="203">
        <v>13500</v>
      </c>
      <c r="H83" s="194">
        <v>0.76600000000000001</v>
      </c>
    </row>
    <row r="84" spans="1:11" x14ac:dyDescent="0.3">
      <c r="B84" s="238" t="s">
        <v>425</v>
      </c>
      <c r="C84" s="194">
        <v>0.49139417396953489</v>
      </c>
      <c r="D84" s="102">
        <v>14157</v>
      </c>
      <c r="E84" s="192">
        <v>0.76</v>
      </c>
      <c r="F84" s="194">
        <v>0.52</v>
      </c>
      <c r="G84" s="203">
        <v>13500</v>
      </c>
      <c r="H84" s="194">
        <v>0.76600000000000001</v>
      </c>
    </row>
    <row r="85" spans="1:11" x14ac:dyDescent="0.3">
      <c r="B85" s="238" t="s">
        <v>426</v>
      </c>
      <c r="C85" s="194">
        <v>0.48946144515131129</v>
      </c>
      <c r="D85" s="102">
        <v>14223</v>
      </c>
      <c r="E85" s="192">
        <v>0.77</v>
      </c>
      <c r="F85" s="194">
        <v>0.52</v>
      </c>
      <c r="G85" s="203">
        <v>13500</v>
      </c>
      <c r="H85" s="194">
        <v>0.76600000000000001</v>
      </c>
    </row>
    <row r="86" spans="1:11" x14ac:dyDescent="0.3">
      <c r="B86" s="238" t="s">
        <v>427</v>
      </c>
      <c r="C86" s="194">
        <v>0.49110921365103932</v>
      </c>
      <c r="D86" s="102">
        <v>14339</v>
      </c>
      <c r="E86" s="192">
        <v>0.77</v>
      </c>
      <c r="F86" s="194">
        <v>0.52</v>
      </c>
      <c r="G86" s="203">
        <v>13500</v>
      </c>
      <c r="H86" s="194">
        <v>0.76600000000000001</v>
      </c>
    </row>
    <row r="87" spans="1:11" x14ac:dyDescent="0.3">
      <c r="B87" s="238" t="s">
        <v>428</v>
      </c>
      <c r="C87" s="194">
        <v>0.49817861729926038</v>
      </c>
      <c r="D87" s="102">
        <v>14434</v>
      </c>
      <c r="E87" s="192">
        <v>0.78</v>
      </c>
      <c r="F87" s="194">
        <v>0.52</v>
      </c>
      <c r="G87" s="203">
        <v>13500</v>
      </c>
      <c r="H87" s="194">
        <v>0.76600000000000001</v>
      </c>
    </row>
    <row r="88" spans="1:11" x14ac:dyDescent="0.3">
      <c r="B88" s="238" t="s">
        <v>429</v>
      </c>
      <c r="C88" s="194">
        <v>0.51652970195023207</v>
      </c>
      <c r="D88" s="102">
        <v>14320</v>
      </c>
      <c r="E88" s="192">
        <v>0.78</v>
      </c>
      <c r="F88" s="194">
        <v>0.52</v>
      </c>
      <c r="G88" s="203">
        <v>13500</v>
      </c>
      <c r="H88" s="194">
        <v>0.76600000000000001</v>
      </c>
    </row>
    <row r="89" spans="1:11" x14ac:dyDescent="0.3">
      <c r="B89" s="238" t="s">
        <v>430</v>
      </c>
      <c r="C89" s="194">
        <v>0.51652970195023207</v>
      </c>
      <c r="D89" s="102">
        <v>14447</v>
      </c>
      <c r="E89" s="194">
        <v>0.79</v>
      </c>
      <c r="F89" s="194">
        <v>0.52</v>
      </c>
      <c r="G89" s="203">
        <v>13500</v>
      </c>
      <c r="H89" s="194">
        <v>0.76600000000000001</v>
      </c>
    </row>
    <row r="90" spans="1:11" x14ac:dyDescent="0.3">
      <c r="B90" s="238" t="s">
        <v>431</v>
      </c>
      <c r="C90" s="290">
        <v>0.53</v>
      </c>
      <c r="D90" s="291">
        <v>14676.63</v>
      </c>
      <c r="E90" s="290">
        <v>0.79900000000000004</v>
      </c>
      <c r="F90" s="194">
        <v>0.52</v>
      </c>
      <c r="G90" s="203">
        <v>13500</v>
      </c>
      <c r="H90" s="194">
        <v>0.76600000000000001</v>
      </c>
    </row>
    <row r="91" spans="1:11" s="193" customFormat="1" x14ac:dyDescent="0.3">
      <c r="B91" s="238" t="s">
        <v>446</v>
      </c>
      <c r="C91" s="192">
        <v>0.53557534451022304</v>
      </c>
      <c r="D91" s="555">
        <v>14913.625810768826</v>
      </c>
      <c r="E91" s="192">
        <v>0.80277335118339033</v>
      </c>
      <c r="F91" s="99"/>
      <c r="G91" s="201"/>
      <c r="H91" s="99"/>
    </row>
    <row r="92" spans="1:11" s="193" customFormat="1" x14ac:dyDescent="0.3">
      <c r="B92" s="238" t="s">
        <v>447</v>
      </c>
      <c r="C92" s="99"/>
      <c r="D92" s="99"/>
      <c r="E92" s="99"/>
      <c r="F92" s="99"/>
      <c r="G92" s="201"/>
      <c r="H92" s="99"/>
    </row>
    <row r="93" spans="1:11" s="193" customFormat="1" x14ac:dyDescent="0.3">
      <c r="B93" s="238" t="s">
        <v>448</v>
      </c>
      <c r="C93" s="99"/>
      <c r="D93" s="99"/>
      <c r="E93" s="99"/>
      <c r="F93" s="99"/>
      <c r="G93" s="201"/>
      <c r="H93" s="99"/>
    </row>
    <row r="94" spans="1:11" s="193" customFormat="1" x14ac:dyDescent="0.3">
      <c r="B94" s="238" t="s">
        <v>449</v>
      </c>
      <c r="C94" s="99"/>
      <c r="D94" s="99"/>
      <c r="E94" s="99"/>
      <c r="F94" s="99"/>
      <c r="G94" s="201"/>
      <c r="H94" s="99"/>
    </row>
    <row r="95" spans="1:11" ht="19.5" thickBot="1" x14ac:dyDescent="0.35">
      <c r="B95" s="239" t="s">
        <v>450</v>
      </c>
      <c r="C95" s="207"/>
      <c r="D95" s="207"/>
      <c r="E95" s="207"/>
      <c r="F95" s="207"/>
      <c r="G95" s="224"/>
      <c r="H95" s="207"/>
    </row>
    <row r="96" spans="1:11" x14ac:dyDescent="0.3">
      <c r="A96" s="216"/>
      <c r="B96" s="225" t="s">
        <v>436</v>
      </c>
      <c r="C96" s="226" t="s">
        <v>437</v>
      </c>
      <c r="D96" s="226" t="s">
        <v>438</v>
      </c>
      <c r="E96" s="226" t="s">
        <v>440</v>
      </c>
      <c r="F96" s="226" t="s">
        <v>439</v>
      </c>
      <c r="G96" s="226" t="s">
        <v>441</v>
      </c>
      <c r="H96" s="218" t="s">
        <v>442</v>
      </c>
      <c r="I96" s="218" t="s">
        <v>444</v>
      </c>
      <c r="J96" s="218" t="s">
        <v>443</v>
      </c>
      <c r="K96" s="219"/>
    </row>
    <row r="97" spans="1:11" x14ac:dyDescent="0.3">
      <c r="A97" s="220">
        <v>1</v>
      </c>
      <c r="B97" s="196" t="s">
        <v>86</v>
      </c>
      <c r="C97" s="227">
        <v>0.48</v>
      </c>
      <c r="D97" s="192">
        <v>0.48</v>
      </c>
      <c r="E97" s="192">
        <v>0.48</v>
      </c>
      <c r="F97" s="192">
        <v>0.48</v>
      </c>
      <c r="G97" s="241">
        <v>0.5</v>
      </c>
      <c r="H97" s="261">
        <v>0.5</v>
      </c>
      <c r="I97" s="280">
        <v>0.51</v>
      </c>
      <c r="J97" s="192">
        <v>0.52244381133270024</v>
      </c>
      <c r="K97" s="228"/>
    </row>
    <row r="98" spans="1:11" x14ac:dyDescent="0.3">
      <c r="A98" s="221">
        <v>2</v>
      </c>
      <c r="B98" s="197" t="s">
        <v>104</v>
      </c>
      <c r="C98" s="229">
        <v>0.48</v>
      </c>
      <c r="D98" s="192">
        <v>0.47</v>
      </c>
      <c r="E98" s="192">
        <v>0.47</v>
      </c>
      <c r="F98" s="192">
        <v>0.48</v>
      </c>
      <c r="G98" s="240">
        <v>0.5</v>
      </c>
      <c r="H98" s="262">
        <v>0.5</v>
      </c>
      <c r="I98" s="281">
        <v>0.5</v>
      </c>
      <c r="J98" s="192">
        <v>0.51191093731295634</v>
      </c>
      <c r="K98" s="228"/>
    </row>
    <row r="99" spans="1:11" x14ac:dyDescent="0.3">
      <c r="A99" s="220">
        <v>3</v>
      </c>
      <c r="B99" s="196" t="s">
        <v>103</v>
      </c>
      <c r="C99" s="227">
        <v>0.49</v>
      </c>
      <c r="D99" s="192">
        <v>0.49</v>
      </c>
      <c r="E99" s="192">
        <v>0.5</v>
      </c>
      <c r="F99" s="192">
        <v>0.52</v>
      </c>
      <c r="G99" s="241">
        <v>0.54</v>
      </c>
      <c r="H99" s="263">
        <v>0.55000000000000004</v>
      </c>
      <c r="I99" s="282">
        <v>0.56000000000000005</v>
      </c>
      <c r="J99" s="192">
        <v>0.56071406043020244</v>
      </c>
      <c r="K99" s="228"/>
    </row>
    <row r="100" spans="1:11" x14ac:dyDescent="0.3">
      <c r="A100" s="221">
        <v>4</v>
      </c>
      <c r="B100" s="197" t="s">
        <v>106</v>
      </c>
      <c r="C100" s="229">
        <v>0.45</v>
      </c>
      <c r="D100" s="192">
        <v>0.45</v>
      </c>
      <c r="E100" s="192">
        <v>0.45</v>
      </c>
      <c r="F100" s="192">
        <v>0.46</v>
      </c>
      <c r="G100" s="240">
        <v>0.48</v>
      </c>
      <c r="H100" s="262">
        <v>0.49</v>
      </c>
      <c r="I100" s="281">
        <v>0.5</v>
      </c>
      <c r="J100" s="192">
        <v>0.50685822395648572</v>
      </c>
      <c r="K100" s="228"/>
    </row>
    <row r="101" spans="1:11" x14ac:dyDescent="0.3">
      <c r="A101" s="220">
        <v>5</v>
      </c>
      <c r="B101" s="196" t="s">
        <v>105</v>
      </c>
      <c r="C101" s="227">
        <v>0.41</v>
      </c>
      <c r="D101" s="192">
        <v>0.42</v>
      </c>
      <c r="E101" s="192">
        <v>0.43</v>
      </c>
      <c r="F101" s="192">
        <v>0.44</v>
      </c>
      <c r="G101" s="241">
        <v>0.47</v>
      </c>
      <c r="H101" s="263">
        <v>0.48</v>
      </c>
      <c r="I101" s="282">
        <v>0.48</v>
      </c>
      <c r="J101" s="192">
        <v>0.49042389599092873</v>
      </c>
      <c r="K101" s="228"/>
    </row>
    <row r="102" spans="1:11" x14ac:dyDescent="0.3">
      <c r="A102" s="221">
        <v>6</v>
      </c>
      <c r="B102" s="197" t="s">
        <v>110</v>
      </c>
      <c r="C102" s="229">
        <v>0.44</v>
      </c>
      <c r="D102" s="192">
        <v>0.44</v>
      </c>
      <c r="E102" s="192">
        <v>0.44</v>
      </c>
      <c r="F102" s="192">
        <v>0.43</v>
      </c>
      <c r="G102" s="240">
        <v>0.45</v>
      </c>
      <c r="H102" s="262">
        <v>0.44</v>
      </c>
      <c r="I102" s="281">
        <v>0.45</v>
      </c>
      <c r="J102" s="192">
        <v>0.44790118213350322</v>
      </c>
      <c r="K102" s="228"/>
    </row>
    <row r="103" spans="1:11" x14ac:dyDescent="0.3">
      <c r="A103" s="220">
        <v>7</v>
      </c>
      <c r="B103" s="196" t="s">
        <v>108</v>
      </c>
      <c r="C103" s="227">
        <v>0.46</v>
      </c>
      <c r="D103" s="192">
        <v>0.46</v>
      </c>
      <c r="E103" s="192">
        <v>0.46</v>
      </c>
      <c r="F103" s="192">
        <v>0.47</v>
      </c>
      <c r="G103" s="241">
        <v>0.49</v>
      </c>
      <c r="H103" s="263">
        <v>0.5</v>
      </c>
      <c r="I103" s="282">
        <v>0.51</v>
      </c>
      <c r="J103" s="192">
        <v>0.51753691368950583</v>
      </c>
      <c r="K103" s="228"/>
    </row>
    <row r="104" spans="1:11" x14ac:dyDescent="0.3">
      <c r="A104" s="221">
        <v>8</v>
      </c>
      <c r="B104" s="197" t="s">
        <v>102</v>
      </c>
      <c r="C104" s="229">
        <v>0.66</v>
      </c>
      <c r="D104" s="192">
        <v>0.66</v>
      </c>
      <c r="E104" s="192">
        <v>0.65</v>
      </c>
      <c r="F104" s="192">
        <v>0.65</v>
      </c>
      <c r="G104" s="240">
        <v>0.66</v>
      </c>
      <c r="H104" s="262">
        <v>0.66</v>
      </c>
      <c r="I104" s="281">
        <v>0.67</v>
      </c>
      <c r="J104" s="192">
        <v>0.67233722512713989</v>
      </c>
      <c r="K104" s="228"/>
    </row>
    <row r="105" spans="1:11" x14ac:dyDescent="0.3">
      <c r="A105" s="220">
        <v>9</v>
      </c>
      <c r="B105" s="196" t="s">
        <v>107</v>
      </c>
      <c r="C105" s="227">
        <v>0.61</v>
      </c>
      <c r="D105" s="192">
        <v>0.6</v>
      </c>
      <c r="E105" s="192">
        <v>0.6</v>
      </c>
      <c r="F105" s="192">
        <v>0.6</v>
      </c>
      <c r="G105" s="241">
        <v>0.61</v>
      </c>
      <c r="H105" s="263">
        <v>0.61</v>
      </c>
      <c r="I105" s="282">
        <v>0.61</v>
      </c>
      <c r="J105" s="192">
        <v>0.61145485630546281</v>
      </c>
      <c r="K105" s="228"/>
    </row>
    <row r="106" spans="1:11" x14ac:dyDescent="0.3">
      <c r="A106" s="221">
        <v>10</v>
      </c>
      <c r="B106" s="197" t="s">
        <v>101</v>
      </c>
      <c r="C106" s="229">
        <v>0.54</v>
      </c>
      <c r="D106" s="192">
        <v>0.55000000000000004</v>
      </c>
      <c r="E106" s="192">
        <v>0.54</v>
      </c>
      <c r="F106" s="192">
        <v>0.55000000000000004</v>
      </c>
      <c r="G106" s="240">
        <v>0.56000000000000005</v>
      </c>
      <c r="H106" s="262">
        <v>0.55000000000000004</v>
      </c>
      <c r="I106" s="281">
        <v>0.55000000000000004</v>
      </c>
      <c r="J106" s="192">
        <v>0.56686587635936125</v>
      </c>
      <c r="K106" s="228"/>
    </row>
    <row r="107" spans="1:11" x14ac:dyDescent="0.3">
      <c r="A107" s="220">
        <v>11</v>
      </c>
      <c r="B107" s="196" t="s">
        <v>100</v>
      </c>
      <c r="C107" s="227">
        <v>0.63</v>
      </c>
      <c r="D107" s="192">
        <v>0.62</v>
      </c>
      <c r="E107" s="192">
        <v>0.62</v>
      </c>
      <c r="F107" s="192">
        <v>0.63</v>
      </c>
      <c r="G107" s="242">
        <v>0.64</v>
      </c>
      <c r="H107" s="263">
        <v>0.64</v>
      </c>
      <c r="I107" s="282">
        <v>0.65</v>
      </c>
      <c r="J107" s="192">
        <v>0.63755487561527202</v>
      </c>
      <c r="K107" s="228"/>
    </row>
    <row r="108" spans="1:11" ht="19.5" thickBot="1" x14ac:dyDescent="0.35">
      <c r="A108" s="222">
        <v>12</v>
      </c>
      <c r="B108" s="223" t="s">
        <v>109</v>
      </c>
      <c r="C108" s="230">
        <v>0.46</v>
      </c>
      <c r="D108" s="231">
        <v>0.47</v>
      </c>
      <c r="E108" s="231">
        <v>0.47</v>
      </c>
      <c r="F108" s="231">
        <v>0.48</v>
      </c>
      <c r="G108" s="240">
        <v>0.5</v>
      </c>
      <c r="H108" s="264">
        <v>0.5</v>
      </c>
      <c r="I108" s="283">
        <v>0.51</v>
      </c>
      <c r="J108" s="231">
        <v>0.51536086251112156</v>
      </c>
      <c r="K108" s="232"/>
    </row>
    <row r="110" spans="1:11" x14ac:dyDescent="0.3">
      <c r="A110" s="99"/>
      <c r="B110" s="213" t="s">
        <v>445</v>
      </c>
      <c r="C110" s="99" t="s">
        <v>437</v>
      </c>
      <c r="D110" s="99" t="s">
        <v>438</v>
      </c>
      <c r="E110" s="99" t="s">
        <v>440</v>
      </c>
      <c r="F110" s="99" t="s">
        <v>439</v>
      </c>
      <c r="G110" s="99" t="s">
        <v>441</v>
      </c>
      <c r="H110" s="99" t="s">
        <v>442</v>
      </c>
      <c r="I110" s="99" t="s">
        <v>444</v>
      </c>
      <c r="J110" s="99" t="s">
        <v>443</v>
      </c>
      <c r="K110" s="99"/>
    </row>
    <row r="111" spans="1:11" x14ac:dyDescent="0.3">
      <c r="A111" s="214">
        <v>1</v>
      </c>
      <c r="B111" s="196" t="s">
        <v>86</v>
      </c>
      <c r="C111" s="227">
        <v>0.76</v>
      </c>
      <c r="D111" s="192">
        <v>0.76</v>
      </c>
      <c r="E111" s="192">
        <v>0.77</v>
      </c>
      <c r="F111" s="192">
        <v>0.77</v>
      </c>
      <c r="G111" s="241">
        <v>0.78</v>
      </c>
      <c r="H111" s="261">
        <v>0.78</v>
      </c>
      <c r="I111" s="280">
        <v>0.79400000000000004</v>
      </c>
      <c r="J111" s="192">
        <v>0.79517060367454073</v>
      </c>
      <c r="K111" s="192"/>
    </row>
    <row r="112" spans="1:11" x14ac:dyDescent="0.3">
      <c r="A112" s="215">
        <v>2</v>
      </c>
      <c r="B112" s="197" t="s">
        <v>104</v>
      </c>
      <c r="C112" s="229">
        <v>0.74</v>
      </c>
      <c r="D112" s="192">
        <v>0.75</v>
      </c>
      <c r="E112" s="192">
        <v>0.76</v>
      </c>
      <c r="F112" s="192">
        <v>0.76</v>
      </c>
      <c r="G112" s="240">
        <v>0.78</v>
      </c>
      <c r="H112" s="262">
        <v>0.77</v>
      </c>
      <c r="I112" s="281">
        <v>0.77400000000000002</v>
      </c>
      <c r="J112" s="192">
        <v>0.77580787124355588</v>
      </c>
      <c r="K112" s="192"/>
    </row>
    <row r="113" spans="1:11" x14ac:dyDescent="0.3">
      <c r="A113" s="214">
        <v>3</v>
      </c>
      <c r="B113" s="196" t="s">
        <v>103</v>
      </c>
      <c r="C113" s="227">
        <v>0.75</v>
      </c>
      <c r="D113" s="192">
        <v>0.75</v>
      </c>
      <c r="E113" s="192">
        <v>0.77</v>
      </c>
      <c r="F113" s="192">
        <v>0.78</v>
      </c>
      <c r="G113" s="241">
        <v>0.79</v>
      </c>
      <c r="H113" s="263">
        <v>0.79</v>
      </c>
      <c r="I113" s="282">
        <v>0.80100000000000005</v>
      </c>
      <c r="J113" s="192">
        <v>0.80645449669229397</v>
      </c>
      <c r="K113" s="192"/>
    </row>
    <row r="114" spans="1:11" x14ac:dyDescent="0.3">
      <c r="A114" s="215">
        <v>4</v>
      </c>
      <c r="B114" s="197" t="s">
        <v>106</v>
      </c>
      <c r="C114" s="229">
        <v>0.76</v>
      </c>
      <c r="D114" s="192">
        <v>0.75</v>
      </c>
      <c r="E114" s="192">
        <v>0.77</v>
      </c>
      <c r="F114" s="192">
        <v>0.78</v>
      </c>
      <c r="G114" s="240">
        <v>0.79</v>
      </c>
      <c r="H114" s="262">
        <v>0.8</v>
      </c>
      <c r="I114" s="281">
        <v>0.81</v>
      </c>
      <c r="J114" s="192">
        <v>0.81428645536131139</v>
      </c>
      <c r="K114" s="192"/>
    </row>
    <row r="115" spans="1:11" x14ac:dyDescent="0.3">
      <c r="A115" s="214">
        <v>5</v>
      </c>
      <c r="B115" s="196" t="s">
        <v>105</v>
      </c>
      <c r="C115" s="227">
        <v>0.76</v>
      </c>
      <c r="D115" s="192">
        <v>0.77</v>
      </c>
      <c r="E115" s="192">
        <v>0.78</v>
      </c>
      <c r="F115" s="192">
        <v>0.79</v>
      </c>
      <c r="G115" s="241">
        <v>0.79</v>
      </c>
      <c r="H115" s="263">
        <v>0.8</v>
      </c>
      <c r="I115" s="282">
        <v>0.81</v>
      </c>
      <c r="J115" s="192">
        <v>0.81298826737876762</v>
      </c>
      <c r="K115" s="192"/>
    </row>
    <row r="116" spans="1:11" x14ac:dyDescent="0.3">
      <c r="A116" s="215">
        <v>6</v>
      </c>
      <c r="B116" s="197" t="s">
        <v>110</v>
      </c>
      <c r="C116" s="229">
        <v>0.72</v>
      </c>
      <c r="D116" s="192">
        <v>0.73</v>
      </c>
      <c r="E116" s="192">
        <v>0.73</v>
      </c>
      <c r="F116" s="192">
        <v>0.74</v>
      </c>
      <c r="G116" s="240">
        <v>0.76</v>
      </c>
      <c r="H116" s="262">
        <v>0.77</v>
      </c>
      <c r="I116" s="281">
        <v>0.77900000000000003</v>
      </c>
      <c r="J116" s="192">
        <v>0.77876794258373205</v>
      </c>
      <c r="K116" s="192"/>
    </row>
    <row r="117" spans="1:11" x14ac:dyDescent="0.3">
      <c r="A117" s="214">
        <v>7</v>
      </c>
      <c r="B117" s="196" t="s">
        <v>108</v>
      </c>
      <c r="C117" s="227">
        <v>0.76</v>
      </c>
      <c r="D117" s="192">
        <v>0.76</v>
      </c>
      <c r="E117" s="192">
        <v>0.77</v>
      </c>
      <c r="F117" s="192">
        <v>0.78</v>
      </c>
      <c r="G117" s="241">
        <v>0.8</v>
      </c>
      <c r="H117" s="263">
        <v>0.8</v>
      </c>
      <c r="I117" s="282">
        <v>0.80500000000000005</v>
      </c>
      <c r="J117" s="192">
        <v>0.80795709834045948</v>
      </c>
      <c r="K117" s="192"/>
    </row>
    <row r="118" spans="1:11" x14ac:dyDescent="0.3">
      <c r="A118" s="215">
        <v>8</v>
      </c>
      <c r="B118" s="197" t="s">
        <v>102</v>
      </c>
      <c r="C118" s="229">
        <v>0.75</v>
      </c>
      <c r="D118" s="192">
        <v>0.74</v>
      </c>
      <c r="E118" s="192">
        <v>0.75</v>
      </c>
      <c r="F118" s="192">
        <v>0.75</v>
      </c>
      <c r="G118" s="240">
        <v>0.77</v>
      </c>
      <c r="H118" s="262">
        <v>0.77</v>
      </c>
      <c r="I118" s="281">
        <v>0.78</v>
      </c>
      <c r="J118" s="192">
        <v>0.7867043121149897</v>
      </c>
      <c r="K118" s="192"/>
    </row>
    <row r="119" spans="1:11" x14ac:dyDescent="0.3">
      <c r="A119" s="214">
        <v>9</v>
      </c>
      <c r="B119" s="196" t="s">
        <v>107</v>
      </c>
      <c r="C119" s="227">
        <v>0.76</v>
      </c>
      <c r="D119" s="192">
        <v>0.75</v>
      </c>
      <c r="E119" s="192">
        <v>0.76</v>
      </c>
      <c r="F119" s="192">
        <v>0.76</v>
      </c>
      <c r="G119" s="241">
        <v>0.77</v>
      </c>
      <c r="H119" s="263">
        <v>0.77</v>
      </c>
      <c r="I119" s="282">
        <v>0.76600000000000001</v>
      </c>
      <c r="J119" s="192">
        <v>0.76404916536954537</v>
      </c>
      <c r="K119" s="192"/>
    </row>
    <row r="120" spans="1:11" x14ac:dyDescent="0.3">
      <c r="A120" s="215">
        <v>10</v>
      </c>
      <c r="B120" s="197" t="s">
        <v>101</v>
      </c>
      <c r="C120" s="229">
        <v>0.76</v>
      </c>
      <c r="D120" s="192">
        <v>0.77</v>
      </c>
      <c r="E120" s="192">
        <v>0.78</v>
      </c>
      <c r="F120" s="192">
        <v>0.78</v>
      </c>
      <c r="G120" s="240">
        <v>0.78</v>
      </c>
      <c r="H120" s="262">
        <v>0.78</v>
      </c>
      <c r="I120" s="281">
        <v>0.78700000000000003</v>
      </c>
      <c r="J120" s="192">
        <v>0.786156746566119</v>
      </c>
      <c r="K120" s="192"/>
    </row>
    <row r="121" spans="1:11" x14ac:dyDescent="0.3">
      <c r="A121" s="214">
        <v>11</v>
      </c>
      <c r="B121" s="196" t="s">
        <v>100</v>
      </c>
      <c r="C121" s="227">
        <v>0.77</v>
      </c>
      <c r="D121" s="192">
        <v>0.78</v>
      </c>
      <c r="E121" s="192">
        <v>0.78</v>
      </c>
      <c r="F121" s="192">
        <v>0.79</v>
      </c>
      <c r="G121" s="242">
        <v>0.8</v>
      </c>
      <c r="H121" s="263">
        <v>0.79</v>
      </c>
      <c r="I121" s="282">
        <v>0.79300000000000004</v>
      </c>
      <c r="J121" s="192">
        <v>0.79195134144309287</v>
      </c>
      <c r="K121" s="192"/>
    </row>
    <row r="122" spans="1:11" x14ac:dyDescent="0.3">
      <c r="A122" s="215">
        <v>12</v>
      </c>
      <c r="B122" s="197" t="s">
        <v>109</v>
      </c>
      <c r="C122" s="229">
        <v>0.75</v>
      </c>
      <c r="D122" s="192">
        <v>0.75</v>
      </c>
      <c r="E122" s="192">
        <v>0.77</v>
      </c>
      <c r="F122" s="192">
        <v>0.78</v>
      </c>
      <c r="G122" s="240">
        <v>0.78</v>
      </c>
      <c r="H122" s="264">
        <v>0.79</v>
      </c>
      <c r="I122" s="283">
        <v>0.78900000000000003</v>
      </c>
      <c r="J122" s="192">
        <v>0.79644268774703553</v>
      </c>
      <c r="K122" s="192"/>
    </row>
    <row r="123" spans="1:11" ht="19.5" thickBot="1" x14ac:dyDescent="0.35"/>
    <row r="124" spans="1:11" x14ac:dyDescent="0.3">
      <c r="A124" s="216"/>
      <c r="B124" s="217" t="s">
        <v>451</v>
      </c>
      <c r="C124" s="218" t="s">
        <v>437</v>
      </c>
      <c r="D124" s="218" t="s">
        <v>438</v>
      </c>
      <c r="E124" s="218" t="s">
        <v>440</v>
      </c>
      <c r="F124" s="218" t="s">
        <v>439</v>
      </c>
      <c r="G124" s="218" t="s">
        <v>441</v>
      </c>
      <c r="H124" s="218" t="s">
        <v>442</v>
      </c>
      <c r="I124" s="218" t="s">
        <v>444</v>
      </c>
      <c r="J124" s="218" t="s">
        <v>443</v>
      </c>
      <c r="K124" s="219"/>
    </row>
    <row r="125" spans="1:11" x14ac:dyDescent="0.3">
      <c r="A125" s="220">
        <v>1</v>
      </c>
      <c r="B125" s="196" t="s">
        <v>86</v>
      </c>
      <c r="C125" s="269">
        <v>13889</v>
      </c>
      <c r="D125" s="270">
        <v>13691</v>
      </c>
      <c r="E125" s="270">
        <v>13746</v>
      </c>
      <c r="F125" s="270">
        <v>13805</v>
      </c>
      <c r="G125" s="243">
        <v>13703</v>
      </c>
      <c r="H125" s="265">
        <v>13751</v>
      </c>
      <c r="I125" s="284">
        <v>14060.79</v>
      </c>
      <c r="J125" s="233">
        <v>14253.737506645401</v>
      </c>
      <c r="K125" s="234"/>
    </row>
    <row r="126" spans="1:11" x14ac:dyDescent="0.3">
      <c r="A126" s="221">
        <v>2</v>
      </c>
      <c r="B126" s="197" t="s">
        <v>104</v>
      </c>
      <c r="C126" s="271">
        <v>12944</v>
      </c>
      <c r="D126" s="270">
        <v>13130</v>
      </c>
      <c r="E126" s="270">
        <v>13214</v>
      </c>
      <c r="F126" s="270">
        <v>13122</v>
      </c>
      <c r="G126" s="244">
        <v>13253</v>
      </c>
      <c r="H126" s="266">
        <v>13130</v>
      </c>
      <c r="I126" s="285">
        <v>13293.79</v>
      </c>
      <c r="J126" s="233">
        <v>13492.511606996894</v>
      </c>
      <c r="K126" s="234"/>
    </row>
    <row r="127" spans="1:11" x14ac:dyDescent="0.3">
      <c r="A127" s="220">
        <v>3</v>
      </c>
      <c r="B127" s="196" t="s">
        <v>103</v>
      </c>
      <c r="C127" s="269">
        <v>13339</v>
      </c>
      <c r="D127" s="270">
        <v>13346</v>
      </c>
      <c r="E127" s="270">
        <v>13396</v>
      </c>
      <c r="F127" s="270">
        <v>13806</v>
      </c>
      <c r="G127" s="243">
        <v>14086</v>
      </c>
      <c r="H127" s="267">
        <v>14338</v>
      </c>
      <c r="I127" s="286">
        <v>14822.23</v>
      </c>
      <c r="J127" s="233">
        <v>15056.178447406744</v>
      </c>
      <c r="K127" s="234"/>
    </row>
    <row r="128" spans="1:11" x14ac:dyDescent="0.3">
      <c r="A128" s="221">
        <v>4</v>
      </c>
      <c r="B128" s="197" t="s">
        <v>106</v>
      </c>
      <c r="C128" s="271">
        <v>15981</v>
      </c>
      <c r="D128" s="270">
        <v>15815</v>
      </c>
      <c r="E128" s="270">
        <v>16015</v>
      </c>
      <c r="F128" s="270">
        <v>16175</v>
      </c>
      <c r="G128" s="244">
        <v>16254</v>
      </c>
      <c r="H128" s="266">
        <v>16196</v>
      </c>
      <c r="I128" s="285">
        <v>16352.23</v>
      </c>
      <c r="J128" s="233">
        <v>16508.956918724281</v>
      </c>
      <c r="K128" s="234"/>
    </row>
    <row r="129" spans="1:11" x14ac:dyDescent="0.3">
      <c r="A129" s="220">
        <v>5</v>
      </c>
      <c r="B129" s="196" t="s">
        <v>105</v>
      </c>
      <c r="C129" s="269">
        <v>18245</v>
      </c>
      <c r="D129" s="270">
        <v>18284</v>
      </c>
      <c r="E129" s="270">
        <v>18497</v>
      </c>
      <c r="F129" s="270">
        <v>18478</v>
      </c>
      <c r="G129" s="243">
        <v>18020</v>
      </c>
      <c r="H129" s="267">
        <v>18078</v>
      </c>
      <c r="I129" s="286">
        <v>18127.57</v>
      </c>
      <c r="J129" s="233">
        <v>18358.222889014403</v>
      </c>
      <c r="K129" s="234"/>
    </row>
    <row r="130" spans="1:11" x14ac:dyDescent="0.3">
      <c r="A130" s="221">
        <v>6</v>
      </c>
      <c r="B130" s="197" t="s">
        <v>110</v>
      </c>
      <c r="C130" s="271">
        <v>14209</v>
      </c>
      <c r="D130" s="270">
        <v>14254</v>
      </c>
      <c r="E130" s="270">
        <v>14073</v>
      </c>
      <c r="F130" s="270">
        <v>14169</v>
      </c>
      <c r="G130" s="244">
        <v>14233</v>
      </c>
      <c r="H130" s="266">
        <v>14299</v>
      </c>
      <c r="I130" s="285">
        <v>14602.92</v>
      </c>
      <c r="J130" s="233">
        <v>14704.722131593257</v>
      </c>
      <c r="K130" s="234"/>
    </row>
    <row r="131" spans="1:11" x14ac:dyDescent="0.3">
      <c r="A131" s="220">
        <v>7</v>
      </c>
      <c r="B131" s="196" t="s">
        <v>108</v>
      </c>
      <c r="C131" s="269">
        <v>13792</v>
      </c>
      <c r="D131" s="270">
        <v>13802</v>
      </c>
      <c r="E131" s="270">
        <v>13976</v>
      </c>
      <c r="F131" s="270">
        <v>13927</v>
      </c>
      <c r="G131" s="243">
        <v>14020</v>
      </c>
      <c r="H131" s="267">
        <v>14150</v>
      </c>
      <c r="I131" s="286">
        <v>14001.99</v>
      </c>
      <c r="J131" s="233">
        <v>14104.677617883972</v>
      </c>
      <c r="K131" s="234"/>
    </row>
    <row r="132" spans="1:11" x14ac:dyDescent="0.3">
      <c r="A132" s="221">
        <v>8</v>
      </c>
      <c r="B132" s="197" t="s">
        <v>102</v>
      </c>
      <c r="C132" s="271">
        <v>12823</v>
      </c>
      <c r="D132" s="270">
        <v>12843</v>
      </c>
      <c r="E132" s="270">
        <v>12784</v>
      </c>
      <c r="F132" s="270">
        <v>12808</v>
      </c>
      <c r="G132" s="244">
        <v>12992</v>
      </c>
      <c r="H132" s="266">
        <v>12949</v>
      </c>
      <c r="I132" s="285">
        <v>13424.27</v>
      </c>
      <c r="J132" s="233">
        <v>13821.286051231418</v>
      </c>
      <c r="K132" s="234"/>
    </row>
    <row r="133" spans="1:11" x14ac:dyDescent="0.3">
      <c r="A133" s="220">
        <v>9</v>
      </c>
      <c r="B133" s="196" t="s">
        <v>107</v>
      </c>
      <c r="C133" s="269">
        <v>11070</v>
      </c>
      <c r="D133" s="270">
        <v>11137</v>
      </c>
      <c r="E133" s="270">
        <v>11160</v>
      </c>
      <c r="F133" s="270">
        <v>11187</v>
      </c>
      <c r="G133" s="243">
        <v>11452</v>
      </c>
      <c r="H133" s="267">
        <v>11496</v>
      </c>
      <c r="I133" s="286">
        <v>11782.16</v>
      </c>
      <c r="J133" s="233">
        <v>12051.790634976942</v>
      </c>
      <c r="K133" s="234"/>
    </row>
    <row r="134" spans="1:11" x14ac:dyDescent="0.3">
      <c r="A134" s="221">
        <v>10</v>
      </c>
      <c r="B134" s="197" t="s">
        <v>101</v>
      </c>
      <c r="C134" s="271">
        <v>12003</v>
      </c>
      <c r="D134" s="270">
        <v>12242</v>
      </c>
      <c r="E134" s="270">
        <v>12487</v>
      </c>
      <c r="F134" s="270">
        <v>12539</v>
      </c>
      <c r="G134" s="244">
        <v>12443</v>
      </c>
      <c r="H134" s="266">
        <v>12506</v>
      </c>
      <c r="I134" s="285">
        <v>12802.99</v>
      </c>
      <c r="J134" s="233">
        <v>13066.069791487162</v>
      </c>
      <c r="K134" s="234"/>
    </row>
    <row r="135" spans="1:11" x14ac:dyDescent="0.3">
      <c r="A135" s="220">
        <v>11</v>
      </c>
      <c r="B135" s="196" t="s">
        <v>100</v>
      </c>
      <c r="C135" s="269">
        <v>14098</v>
      </c>
      <c r="D135" s="270">
        <v>14522</v>
      </c>
      <c r="E135" s="270">
        <v>14597</v>
      </c>
      <c r="F135" s="270">
        <v>14197</v>
      </c>
      <c r="G135" s="245">
        <v>14115</v>
      </c>
      <c r="H135" s="267">
        <v>13904</v>
      </c>
      <c r="I135" s="286">
        <v>13977.8</v>
      </c>
      <c r="J135" s="233">
        <v>14071.807977933377</v>
      </c>
      <c r="K135" s="234"/>
    </row>
    <row r="136" spans="1:11" ht="19.5" thickBot="1" x14ac:dyDescent="0.35">
      <c r="A136" s="222">
        <v>12</v>
      </c>
      <c r="B136" s="223" t="s">
        <v>109</v>
      </c>
      <c r="C136" s="272">
        <v>12099</v>
      </c>
      <c r="D136" s="273">
        <v>12010</v>
      </c>
      <c r="E136" s="273">
        <v>12142</v>
      </c>
      <c r="F136" s="273">
        <v>12311</v>
      </c>
      <c r="G136" s="244">
        <v>12335</v>
      </c>
      <c r="H136" s="268">
        <v>12544</v>
      </c>
      <c r="I136" s="287">
        <v>12777.28</v>
      </c>
      <c r="J136" s="235">
        <v>13139.596290726817</v>
      </c>
      <c r="K136" s="236"/>
    </row>
    <row r="138" spans="1:11" ht="19.5" thickBot="1" x14ac:dyDescent="0.35">
      <c r="A138" s="193" t="s">
        <v>452</v>
      </c>
      <c r="C138" s="246">
        <v>3</v>
      </c>
      <c r="D138" s="247">
        <v>4</v>
      </c>
      <c r="E138" s="247">
        <v>5</v>
      </c>
      <c r="F138" s="247">
        <v>6</v>
      </c>
      <c r="G138" s="247">
        <v>7</v>
      </c>
      <c r="H138" s="247">
        <v>8</v>
      </c>
      <c r="I138" s="247">
        <v>9</v>
      </c>
      <c r="J138" s="247">
        <v>10</v>
      </c>
      <c r="K138" s="247">
        <v>11</v>
      </c>
    </row>
    <row r="139" spans="1:11" ht="19.5" thickBot="1" x14ac:dyDescent="0.35">
      <c r="C139" s="249" t="s">
        <v>298</v>
      </c>
      <c r="D139" s="249" t="s">
        <v>299</v>
      </c>
      <c r="E139" s="249" t="s">
        <v>300</v>
      </c>
      <c r="F139" s="249" t="s">
        <v>301</v>
      </c>
      <c r="G139" s="249" t="s">
        <v>302</v>
      </c>
      <c r="H139" s="249" t="s">
        <v>303</v>
      </c>
      <c r="I139" s="249" t="s">
        <v>304</v>
      </c>
      <c r="J139" s="249" t="s">
        <v>305</v>
      </c>
      <c r="K139" s="248" t="s">
        <v>306</v>
      </c>
    </row>
    <row r="140" spans="1:11" x14ac:dyDescent="0.3">
      <c r="A140" s="250">
        <f>'Area Data'!A1</f>
        <v>5</v>
      </c>
      <c r="B140" s="251" t="s">
        <v>1</v>
      </c>
      <c r="C140" s="252">
        <f t="shared" ref="C140:K140" si="0">VLOOKUP($A$140,$A$97:$K$108,C138,)</f>
        <v>0.41</v>
      </c>
      <c r="D140" s="252">
        <f t="shared" si="0"/>
        <v>0.42</v>
      </c>
      <c r="E140" s="252">
        <f t="shared" si="0"/>
        <v>0.43</v>
      </c>
      <c r="F140" s="252">
        <f t="shared" si="0"/>
        <v>0.44</v>
      </c>
      <c r="G140" s="252">
        <f t="shared" si="0"/>
        <v>0.47</v>
      </c>
      <c r="H140" s="252">
        <f t="shared" si="0"/>
        <v>0.48</v>
      </c>
      <c r="I140" s="252">
        <f t="shared" si="0"/>
        <v>0.48</v>
      </c>
      <c r="J140" s="252">
        <f t="shared" si="0"/>
        <v>0.49042389599092873</v>
      </c>
      <c r="K140" s="253">
        <f t="shared" si="0"/>
        <v>0</v>
      </c>
    </row>
    <row r="141" spans="1:11" x14ac:dyDescent="0.3">
      <c r="A141" s="204"/>
      <c r="B141" s="99" t="s">
        <v>2</v>
      </c>
      <c r="C141" s="192">
        <f t="shared" ref="C141:K141" si="1">VLOOKUP($A$140,$A$111:$K$122,C138,)</f>
        <v>0.76</v>
      </c>
      <c r="D141" s="192">
        <f t="shared" si="1"/>
        <v>0.77</v>
      </c>
      <c r="E141" s="192">
        <f t="shared" si="1"/>
        <v>0.78</v>
      </c>
      <c r="F141" s="192">
        <f t="shared" si="1"/>
        <v>0.79</v>
      </c>
      <c r="G141" s="192">
        <f t="shared" si="1"/>
        <v>0.79</v>
      </c>
      <c r="H141" s="192">
        <f t="shared" si="1"/>
        <v>0.8</v>
      </c>
      <c r="I141" s="192">
        <f>VLOOKUP($A$140,$A$111:$K$122,I138,)</f>
        <v>0.81</v>
      </c>
      <c r="J141" s="192">
        <f t="shared" si="1"/>
        <v>0.81298826737876762</v>
      </c>
      <c r="K141" s="228">
        <f t="shared" si="1"/>
        <v>0</v>
      </c>
    </row>
    <row r="142" spans="1:11" ht="19.5" thickBot="1" x14ac:dyDescent="0.35">
      <c r="A142" s="206"/>
      <c r="B142" s="207" t="s">
        <v>3</v>
      </c>
      <c r="C142" s="235">
        <f t="shared" ref="C142:H142" si="2">VLOOKUP($A$140,$A$125:$H$136,C138,)</f>
        <v>18245</v>
      </c>
      <c r="D142" s="235">
        <f t="shared" si="2"/>
        <v>18284</v>
      </c>
      <c r="E142" s="235">
        <f t="shared" si="2"/>
        <v>18497</v>
      </c>
      <c r="F142" s="235">
        <f t="shared" si="2"/>
        <v>18478</v>
      </c>
      <c r="G142" s="235">
        <f t="shared" si="2"/>
        <v>18020</v>
      </c>
      <c r="H142" s="235">
        <f t="shared" si="2"/>
        <v>18078</v>
      </c>
      <c r="I142" s="235">
        <f>VLOOKUP($A$140,$A$125:$K$136,I138,)</f>
        <v>18127.57</v>
      </c>
      <c r="J142" s="235">
        <f t="shared" ref="J142:K142" si="3">VLOOKUP($A$140,$A$125:$K$136,J138,)</f>
        <v>18358.222889014403</v>
      </c>
      <c r="K142" s="235">
        <f t="shared" si="3"/>
        <v>0</v>
      </c>
    </row>
  </sheetData>
  <sortState ref="A19:A31">
    <sortCondition ref="A19"/>
  </sortState>
  <mergeCells count="3">
    <mergeCell ref="C1:K1"/>
    <mergeCell ref="C17:K17"/>
    <mergeCell ref="B32:F32"/>
  </mergeCells>
  <pageMargins left="0.7" right="0.7" top="0.75" bottom="0.75" header="0.3" footer="0.3"/>
  <pageSetup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2:V185"/>
  <sheetViews>
    <sheetView workbookViewId="0">
      <selection activeCell="I86" sqref="I86"/>
    </sheetView>
  </sheetViews>
  <sheetFormatPr defaultRowHeight="18.75" x14ac:dyDescent="0.3"/>
  <cols>
    <col min="2" max="2" width="22" customWidth="1"/>
    <col min="9" max="9" width="19.3984375" customWidth="1"/>
  </cols>
  <sheetData>
    <row r="2" spans="1:8" ht="26.25" x14ac:dyDescent="0.4">
      <c r="A2" s="109" t="s">
        <v>86</v>
      </c>
      <c r="B2" s="109">
        <v>1</v>
      </c>
      <c r="C2" s="105" t="s">
        <v>125</v>
      </c>
      <c r="E2">
        <v>1</v>
      </c>
      <c r="F2" s="109" t="s">
        <v>86</v>
      </c>
      <c r="G2">
        <v>1</v>
      </c>
      <c r="H2" s="105" t="s">
        <v>125</v>
      </c>
    </row>
    <row r="3" spans="1:8" ht="26.25" x14ac:dyDescent="0.4">
      <c r="A3" s="109" t="s">
        <v>136</v>
      </c>
      <c r="B3" s="109">
        <v>2</v>
      </c>
      <c r="C3" s="105" t="s">
        <v>124</v>
      </c>
      <c r="E3">
        <v>2</v>
      </c>
      <c r="F3" s="109" t="s">
        <v>136</v>
      </c>
      <c r="G3">
        <v>2</v>
      </c>
      <c r="H3" s="105" t="s">
        <v>124</v>
      </c>
    </row>
    <row r="4" spans="1:8" ht="26.25" x14ac:dyDescent="0.4">
      <c r="A4" s="109" t="s">
        <v>103</v>
      </c>
      <c r="B4" s="109">
        <v>3</v>
      </c>
      <c r="C4" s="105" t="s">
        <v>123</v>
      </c>
      <c r="E4">
        <v>3</v>
      </c>
      <c r="F4" s="109" t="s">
        <v>103</v>
      </c>
      <c r="G4">
        <v>3</v>
      </c>
      <c r="H4" s="105" t="s">
        <v>123</v>
      </c>
    </row>
    <row r="5" spans="1:8" ht="26.25" x14ac:dyDescent="0.4">
      <c r="A5" s="109" t="s">
        <v>106</v>
      </c>
      <c r="B5" s="109">
        <v>4</v>
      </c>
      <c r="C5" s="105" t="s">
        <v>122</v>
      </c>
      <c r="E5">
        <v>4</v>
      </c>
      <c r="F5" s="109" t="s">
        <v>106</v>
      </c>
      <c r="G5">
        <v>4</v>
      </c>
      <c r="H5" s="105" t="s">
        <v>122</v>
      </c>
    </row>
    <row r="6" spans="1:8" ht="26.25" x14ac:dyDescent="0.4">
      <c r="A6" s="109" t="s">
        <v>137</v>
      </c>
      <c r="B6" s="109">
        <v>5</v>
      </c>
      <c r="C6" s="105" t="s">
        <v>121</v>
      </c>
      <c r="E6">
        <v>5</v>
      </c>
      <c r="F6" s="109" t="s">
        <v>137</v>
      </c>
      <c r="G6">
        <v>5</v>
      </c>
      <c r="H6" s="105" t="s">
        <v>121</v>
      </c>
    </row>
    <row r="7" spans="1:8" ht="26.25" x14ac:dyDescent="0.4">
      <c r="A7" s="109" t="s">
        <v>138</v>
      </c>
      <c r="B7" s="109">
        <v>6</v>
      </c>
      <c r="C7" s="105" t="s">
        <v>120</v>
      </c>
      <c r="E7">
        <v>6</v>
      </c>
      <c r="F7" s="109" t="s">
        <v>138</v>
      </c>
      <c r="G7">
        <v>6</v>
      </c>
      <c r="H7" s="105" t="s">
        <v>120</v>
      </c>
    </row>
    <row r="8" spans="1:8" ht="26.25" x14ac:dyDescent="0.4">
      <c r="A8" s="109" t="s">
        <v>139</v>
      </c>
      <c r="B8" s="109">
        <v>7</v>
      </c>
      <c r="C8" s="105" t="s">
        <v>119</v>
      </c>
      <c r="E8">
        <v>7</v>
      </c>
      <c r="F8" s="109" t="s">
        <v>139</v>
      </c>
      <c r="G8">
        <v>7</v>
      </c>
      <c r="H8" s="105" t="s">
        <v>119</v>
      </c>
    </row>
    <row r="9" spans="1:8" ht="26.25" x14ac:dyDescent="0.4">
      <c r="A9" s="109" t="s">
        <v>102</v>
      </c>
      <c r="B9" s="109">
        <v>8</v>
      </c>
      <c r="C9" s="105" t="s">
        <v>118</v>
      </c>
      <c r="E9">
        <v>8</v>
      </c>
      <c r="F9" s="109" t="s">
        <v>102</v>
      </c>
      <c r="G9">
        <v>8</v>
      </c>
      <c r="H9" s="105" t="s">
        <v>118</v>
      </c>
    </row>
    <row r="10" spans="1:8" ht="26.25" x14ac:dyDescent="0.4">
      <c r="A10" s="109" t="s">
        <v>107</v>
      </c>
      <c r="B10" s="109">
        <v>9</v>
      </c>
      <c r="C10" s="105" t="s">
        <v>117</v>
      </c>
      <c r="E10">
        <v>9</v>
      </c>
      <c r="F10" s="109" t="s">
        <v>107</v>
      </c>
      <c r="G10">
        <v>9</v>
      </c>
      <c r="H10" s="105" t="s">
        <v>117</v>
      </c>
    </row>
    <row r="11" spans="1:8" ht="26.25" x14ac:dyDescent="0.4">
      <c r="A11" s="109" t="s">
        <v>140</v>
      </c>
      <c r="B11" s="109">
        <v>10</v>
      </c>
      <c r="C11" s="105" t="s">
        <v>116</v>
      </c>
      <c r="E11">
        <v>10</v>
      </c>
      <c r="F11" s="109" t="s">
        <v>140</v>
      </c>
      <c r="G11">
        <v>10</v>
      </c>
      <c r="H11" s="105" t="s">
        <v>116</v>
      </c>
    </row>
    <row r="12" spans="1:8" ht="26.25" x14ac:dyDescent="0.4">
      <c r="A12" s="109" t="s">
        <v>141</v>
      </c>
      <c r="B12" s="109">
        <v>11</v>
      </c>
      <c r="C12" s="105" t="s">
        <v>115</v>
      </c>
      <c r="E12">
        <v>11</v>
      </c>
      <c r="F12" s="109" t="s">
        <v>141</v>
      </c>
      <c r="G12">
        <v>11</v>
      </c>
      <c r="H12" s="105" t="s">
        <v>115</v>
      </c>
    </row>
    <row r="13" spans="1:8" ht="26.25" x14ac:dyDescent="0.4">
      <c r="A13" s="109" t="s">
        <v>109</v>
      </c>
      <c r="B13" s="109">
        <v>12</v>
      </c>
      <c r="C13" s="105" t="s">
        <v>114</v>
      </c>
      <c r="E13">
        <v>12</v>
      </c>
      <c r="F13" s="109" t="s">
        <v>109</v>
      </c>
      <c r="G13">
        <v>12</v>
      </c>
      <c r="H13" s="105" t="s">
        <v>114</v>
      </c>
    </row>
    <row r="16" spans="1:8" x14ac:dyDescent="0.3">
      <c r="A16" s="174" t="s">
        <v>294</v>
      </c>
      <c r="B16" s="174" t="s">
        <v>295</v>
      </c>
      <c r="C16" s="174" t="s">
        <v>296</v>
      </c>
      <c r="D16" s="174" t="s">
        <v>297</v>
      </c>
    </row>
    <row r="17" spans="1:22" ht="23.25" x14ac:dyDescent="0.35">
      <c r="A17" s="174" t="s">
        <v>295</v>
      </c>
      <c r="B17" s="174" t="s">
        <v>296</v>
      </c>
      <c r="C17" s="174" t="s">
        <v>297</v>
      </c>
      <c r="D17" s="174" t="s">
        <v>298</v>
      </c>
      <c r="I17" s="103" t="s">
        <v>183</v>
      </c>
    </row>
    <row r="18" spans="1:22" ht="23.25" x14ac:dyDescent="0.35">
      <c r="A18" s="174" t="s">
        <v>296</v>
      </c>
      <c r="B18" s="174" t="s">
        <v>297</v>
      </c>
      <c r="C18" s="174" t="s">
        <v>298</v>
      </c>
      <c r="D18" s="174" t="s">
        <v>299</v>
      </c>
      <c r="I18" s="103" t="s">
        <v>182</v>
      </c>
    </row>
    <row r="19" spans="1:22" ht="23.25" x14ac:dyDescent="0.35">
      <c r="A19" s="174" t="s">
        <v>297</v>
      </c>
      <c r="B19" s="174" t="s">
        <v>298</v>
      </c>
      <c r="C19" s="174" t="s">
        <v>299</v>
      </c>
      <c r="D19" s="174" t="s">
        <v>300</v>
      </c>
      <c r="E19" s="106"/>
      <c r="F19" s="106"/>
      <c r="G19" s="106"/>
      <c r="H19" s="106"/>
      <c r="I19" s="103" t="s">
        <v>184</v>
      </c>
    </row>
    <row r="20" spans="1:22" ht="23.25" x14ac:dyDescent="0.35">
      <c r="A20" s="174" t="s">
        <v>298</v>
      </c>
      <c r="B20" s="174" t="s">
        <v>299</v>
      </c>
      <c r="C20" s="174" t="s">
        <v>300</v>
      </c>
      <c r="D20" s="174" t="s">
        <v>301</v>
      </c>
      <c r="E20" s="106"/>
      <c r="F20" s="106"/>
      <c r="G20" s="106"/>
      <c r="H20" s="106"/>
      <c r="I20" s="103" t="s">
        <v>185</v>
      </c>
    </row>
    <row r="21" spans="1:22" ht="23.25" x14ac:dyDescent="0.35">
      <c r="A21" s="174" t="s">
        <v>299</v>
      </c>
      <c r="B21" s="174" t="s">
        <v>300</v>
      </c>
      <c r="C21" s="174" t="s">
        <v>301</v>
      </c>
      <c r="D21" s="174" t="s">
        <v>302</v>
      </c>
      <c r="I21" s="103" t="s">
        <v>178</v>
      </c>
    </row>
    <row r="22" spans="1:22" ht="39" customHeight="1" x14ac:dyDescent="0.35">
      <c r="A22" s="174" t="s">
        <v>300</v>
      </c>
      <c r="B22" s="174" t="s">
        <v>301</v>
      </c>
      <c r="C22" s="174" t="s">
        <v>302</v>
      </c>
      <c r="D22" s="106" t="s">
        <v>303</v>
      </c>
      <c r="E22" s="174" t="s">
        <v>294</v>
      </c>
      <c r="F22" s="174" t="s">
        <v>295</v>
      </c>
      <c r="G22" s="174" t="s">
        <v>296</v>
      </c>
      <c r="H22" s="174" t="s">
        <v>297</v>
      </c>
      <c r="I22" s="103" t="s">
        <v>179</v>
      </c>
    </row>
    <row r="23" spans="1:22" ht="23.25" x14ac:dyDescent="0.35">
      <c r="A23" s="174" t="s">
        <v>301</v>
      </c>
      <c r="B23" s="174" t="s">
        <v>302</v>
      </c>
      <c r="C23" s="106" t="s">
        <v>303</v>
      </c>
      <c r="D23" s="123" t="s">
        <v>304</v>
      </c>
      <c r="E23" s="174" t="s">
        <v>295</v>
      </c>
      <c r="F23" s="174" t="s">
        <v>296</v>
      </c>
      <c r="G23" s="174" t="s">
        <v>297</v>
      </c>
      <c r="H23" s="174" t="s">
        <v>298</v>
      </c>
      <c r="I23" s="103" t="s">
        <v>87</v>
      </c>
      <c r="J23" s="174" t="s">
        <v>292</v>
      </c>
      <c r="K23" s="174" t="s">
        <v>293</v>
      </c>
      <c r="L23" s="174" t="s">
        <v>294</v>
      </c>
      <c r="M23" s="174" t="s">
        <v>295</v>
      </c>
      <c r="N23" s="174" t="s">
        <v>296</v>
      </c>
      <c r="O23" s="174" t="s">
        <v>297</v>
      </c>
      <c r="P23" s="174" t="s">
        <v>298</v>
      </c>
      <c r="Q23" s="174" t="s">
        <v>299</v>
      </c>
      <c r="R23" s="174" t="s">
        <v>300</v>
      </c>
      <c r="S23" s="174" t="s">
        <v>301</v>
      </c>
      <c r="T23" s="174" t="s">
        <v>302</v>
      </c>
    </row>
    <row r="24" spans="1:22" ht="23.25" x14ac:dyDescent="0.35">
      <c r="A24" s="174" t="s">
        <v>302</v>
      </c>
      <c r="B24" s="106" t="s">
        <v>303</v>
      </c>
      <c r="C24" s="123" t="s">
        <v>304</v>
      </c>
      <c r="D24" s="123" t="s">
        <v>305</v>
      </c>
      <c r="E24" s="174" t="s">
        <v>296</v>
      </c>
      <c r="F24" s="174" t="s">
        <v>297</v>
      </c>
      <c r="G24" s="174" t="s">
        <v>298</v>
      </c>
      <c r="H24" s="174" t="s">
        <v>299</v>
      </c>
      <c r="I24" s="103" t="s">
        <v>180</v>
      </c>
    </row>
    <row r="25" spans="1:22" ht="23.25" x14ac:dyDescent="0.35">
      <c r="A25" s="106" t="s">
        <v>303</v>
      </c>
      <c r="B25" s="123" t="s">
        <v>304</v>
      </c>
      <c r="C25" s="123" t="s">
        <v>305</v>
      </c>
      <c r="D25" s="123" t="s">
        <v>306</v>
      </c>
      <c r="E25" s="174" t="s">
        <v>297</v>
      </c>
      <c r="F25" s="174" t="s">
        <v>298</v>
      </c>
      <c r="G25" s="174" t="s">
        <v>299</v>
      </c>
      <c r="H25" s="174" t="s">
        <v>300</v>
      </c>
      <c r="I25" s="103" t="s">
        <v>181</v>
      </c>
      <c r="L25" s="174" t="s">
        <v>292</v>
      </c>
      <c r="M25" s="174" t="s">
        <v>293</v>
      </c>
      <c r="N25" s="174" t="s">
        <v>294</v>
      </c>
      <c r="O25" s="174" t="s">
        <v>295</v>
      </c>
      <c r="P25" s="174" t="s">
        <v>296</v>
      </c>
      <c r="Q25" s="174" t="s">
        <v>297</v>
      </c>
      <c r="R25" s="174" t="s">
        <v>298</v>
      </c>
      <c r="S25" s="174" t="s">
        <v>299</v>
      </c>
      <c r="T25" s="174" t="s">
        <v>300</v>
      </c>
      <c r="U25" s="174" t="s">
        <v>301</v>
      </c>
      <c r="V25" s="174" t="s">
        <v>302</v>
      </c>
    </row>
    <row r="26" spans="1:22" ht="23.25" x14ac:dyDescent="0.35">
      <c r="A26" s="123" t="s">
        <v>304</v>
      </c>
      <c r="B26" s="123" t="s">
        <v>305</v>
      </c>
      <c r="C26" s="123" t="s">
        <v>306</v>
      </c>
      <c r="D26" s="123" t="s">
        <v>307</v>
      </c>
      <c r="E26" s="174" t="s">
        <v>298</v>
      </c>
      <c r="F26" s="174" t="s">
        <v>299</v>
      </c>
      <c r="G26" s="174" t="s">
        <v>300</v>
      </c>
      <c r="H26" s="174" t="s">
        <v>301</v>
      </c>
      <c r="I26" s="103" t="s">
        <v>570</v>
      </c>
    </row>
    <row r="27" spans="1:22" ht="23.25" x14ac:dyDescent="0.35">
      <c r="A27" s="123" t="s">
        <v>305</v>
      </c>
      <c r="B27" s="123" t="s">
        <v>306</v>
      </c>
      <c r="C27" s="123" t="s">
        <v>307</v>
      </c>
      <c r="D27" s="123" t="s">
        <v>308</v>
      </c>
      <c r="E27" s="174" t="s">
        <v>299</v>
      </c>
      <c r="F27" s="174" t="s">
        <v>300</v>
      </c>
      <c r="G27" s="174" t="s">
        <v>301</v>
      </c>
      <c r="H27" s="174" t="s">
        <v>302</v>
      </c>
      <c r="I27" s="103" t="s">
        <v>571</v>
      </c>
    </row>
    <row r="28" spans="1:22" ht="23.25" x14ac:dyDescent="0.35">
      <c r="A28" s="123" t="s">
        <v>306</v>
      </c>
      <c r="B28" s="123" t="s">
        <v>307</v>
      </c>
      <c r="C28" s="123" t="s">
        <v>308</v>
      </c>
      <c r="D28" s="123" t="s">
        <v>309</v>
      </c>
      <c r="E28" s="174" t="s">
        <v>300</v>
      </c>
      <c r="F28" s="174" t="s">
        <v>301</v>
      </c>
      <c r="G28" s="174" t="s">
        <v>302</v>
      </c>
      <c r="H28" s="106" t="s">
        <v>303</v>
      </c>
      <c r="I28" s="103" t="s">
        <v>572</v>
      </c>
    </row>
    <row r="29" spans="1:22" ht="23.25" x14ac:dyDescent="0.35">
      <c r="A29" s="123" t="s">
        <v>307</v>
      </c>
      <c r="B29" s="123" t="s">
        <v>308</v>
      </c>
      <c r="C29" s="123" t="s">
        <v>309</v>
      </c>
      <c r="D29" s="123" t="s">
        <v>310</v>
      </c>
      <c r="E29" s="174" t="s">
        <v>301</v>
      </c>
      <c r="F29" s="174" t="s">
        <v>302</v>
      </c>
      <c r="G29" s="106" t="s">
        <v>303</v>
      </c>
      <c r="H29" s="123" t="s">
        <v>304</v>
      </c>
      <c r="I29" s="103" t="s">
        <v>573</v>
      </c>
    </row>
    <row r="30" spans="1:22" x14ac:dyDescent="0.3">
      <c r="A30" s="123" t="s">
        <v>308</v>
      </c>
      <c r="B30" s="123" t="s">
        <v>309</v>
      </c>
      <c r="C30" s="123" t="s">
        <v>310</v>
      </c>
      <c r="D30" s="123" t="s">
        <v>311</v>
      </c>
      <c r="E30" s="174" t="s">
        <v>302</v>
      </c>
      <c r="F30" s="106" t="s">
        <v>303</v>
      </c>
      <c r="G30" s="123" t="s">
        <v>304</v>
      </c>
      <c r="H30" s="123" t="s">
        <v>305</v>
      </c>
    </row>
    <row r="31" spans="1:22" x14ac:dyDescent="0.3">
      <c r="A31" s="123" t="s">
        <v>309</v>
      </c>
      <c r="B31" s="123" t="s">
        <v>310</v>
      </c>
      <c r="C31" s="123" t="s">
        <v>311</v>
      </c>
      <c r="D31" s="123" t="s">
        <v>312</v>
      </c>
      <c r="E31" s="106" t="s">
        <v>303</v>
      </c>
      <c r="F31" s="123" t="s">
        <v>304</v>
      </c>
      <c r="G31" s="123" t="s">
        <v>305</v>
      </c>
      <c r="H31" s="123" t="s">
        <v>306</v>
      </c>
    </row>
    <row r="32" spans="1:22" x14ac:dyDescent="0.3">
      <c r="A32" s="106"/>
      <c r="B32" s="106"/>
      <c r="C32" s="106"/>
      <c r="D32" s="106"/>
      <c r="E32" s="123" t="s">
        <v>304</v>
      </c>
      <c r="F32" s="123" t="s">
        <v>305</v>
      </c>
      <c r="G32" s="123" t="s">
        <v>306</v>
      </c>
      <c r="H32" s="123" t="s">
        <v>307</v>
      </c>
    </row>
    <row r="33" spans="1:8" x14ac:dyDescent="0.3">
      <c r="A33" s="106"/>
      <c r="B33" s="106"/>
      <c r="C33" s="106"/>
      <c r="D33" s="123"/>
      <c r="E33" s="123" t="s">
        <v>305</v>
      </c>
      <c r="F33" s="123" t="s">
        <v>306</v>
      </c>
      <c r="G33" s="123" t="s">
        <v>307</v>
      </c>
      <c r="H33" s="123" t="s">
        <v>308</v>
      </c>
    </row>
    <row r="34" spans="1:8" x14ac:dyDescent="0.3">
      <c r="A34" s="106"/>
      <c r="B34" s="106"/>
      <c r="C34" s="123"/>
      <c r="D34" s="123"/>
      <c r="E34" s="123" t="s">
        <v>306</v>
      </c>
      <c r="F34" s="123" t="s">
        <v>307</v>
      </c>
      <c r="G34" s="123" t="s">
        <v>308</v>
      </c>
      <c r="H34" s="123" t="s">
        <v>309</v>
      </c>
    </row>
    <row r="35" spans="1:8" x14ac:dyDescent="0.3">
      <c r="A35" s="106"/>
      <c r="B35" s="123"/>
      <c r="C35" s="123"/>
      <c r="D35" s="123"/>
      <c r="E35" s="123"/>
    </row>
    <row r="36" spans="1:8" x14ac:dyDescent="0.3">
      <c r="A36" s="123"/>
      <c r="B36" s="123"/>
      <c r="C36" s="123"/>
      <c r="D36" s="123"/>
      <c r="E36" s="106"/>
      <c r="F36" s="106"/>
      <c r="G36" s="106"/>
      <c r="H36" s="123"/>
    </row>
    <row r="37" spans="1:8" x14ac:dyDescent="0.3">
      <c r="A37" s="123"/>
      <c r="B37" s="123"/>
      <c r="C37" s="123"/>
      <c r="D37" s="123"/>
      <c r="E37" s="106"/>
      <c r="F37" s="106"/>
      <c r="G37" s="123"/>
      <c r="H37" s="123"/>
    </row>
    <row r="38" spans="1:8" x14ac:dyDescent="0.3">
      <c r="A38" s="123"/>
      <c r="B38" s="123"/>
      <c r="C38" s="123"/>
      <c r="D38" s="123"/>
      <c r="E38" s="106"/>
      <c r="F38" s="123"/>
      <c r="G38" s="123"/>
      <c r="H38" s="123"/>
    </row>
    <row r="39" spans="1:8" x14ac:dyDescent="0.3">
      <c r="A39" s="123"/>
      <c r="B39" s="123"/>
      <c r="C39" s="123"/>
      <c r="D39" s="123"/>
      <c r="E39" s="123"/>
      <c r="F39" s="123"/>
      <c r="G39" s="123"/>
      <c r="H39" s="123"/>
    </row>
    <row r="40" spans="1:8" x14ac:dyDescent="0.3">
      <c r="A40" s="123"/>
      <c r="B40" s="123"/>
      <c r="C40" s="123"/>
      <c r="D40" s="123"/>
      <c r="E40" s="123"/>
      <c r="F40" s="123"/>
      <c r="G40" s="123"/>
      <c r="H40" s="123"/>
    </row>
    <row r="41" spans="1:8" x14ac:dyDescent="0.3">
      <c r="A41" s="123"/>
      <c r="B41" s="123"/>
      <c r="C41" s="123"/>
      <c r="D41" s="123"/>
      <c r="E41" s="123"/>
      <c r="F41" s="123"/>
      <c r="G41" s="123"/>
      <c r="H41" s="123"/>
    </row>
    <row r="42" spans="1:8" x14ac:dyDescent="0.3">
      <c r="E42" s="123"/>
      <c r="F42" s="123"/>
      <c r="G42" s="123"/>
      <c r="H42" s="123"/>
    </row>
    <row r="43" spans="1:8" x14ac:dyDescent="0.3">
      <c r="A43" t="s">
        <v>238</v>
      </c>
      <c r="B43" t="s">
        <v>235</v>
      </c>
      <c r="C43" t="s">
        <v>237</v>
      </c>
      <c r="E43" s="123"/>
      <c r="F43" s="123"/>
      <c r="G43" s="123"/>
      <c r="H43" s="123"/>
    </row>
    <row r="44" spans="1:8" x14ac:dyDescent="0.3">
      <c r="A44">
        <v>8</v>
      </c>
      <c r="B44" t="s">
        <v>234</v>
      </c>
      <c r="C44" t="s">
        <v>102</v>
      </c>
      <c r="D44">
        <v>8</v>
      </c>
      <c r="E44" s="123"/>
      <c r="F44" s="123"/>
      <c r="G44" s="123"/>
      <c r="H44" s="123"/>
    </row>
    <row r="45" spans="1:8" x14ac:dyDescent="0.3">
      <c r="A45">
        <v>10</v>
      </c>
      <c r="B45" t="s">
        <v>233</v>
      </c>
      <c r="C45" t="s">
        <v>140</v>
      </c>
      <c r="D45">
        <v>10</v>
      </c>
    </row>
    <row r="46" spans="1:8" x14ac:dyDescent="0.3">
      <c r="A46">
        <v>11</v>
      </c>
      <c r="B46" t="s">
        <v>232</v>
      </c>
      <c r="C46" t="s">
        <v>141</v>
      </c>
      <c r="D46">
        <v>11</v>
      </c>
    </row>
    <row r="47" spans="1:8" x14ac:dyDescent="0.3">
      <c r="A47">
        <v>8</v>
      </c>
      <c r="B47" t="s">
        <v>231</v>
      </c>
      <c r="C47" t="s">
        <v>102</v>
      </c>
      <c r="D47">
        <v>8</v>
      </c>
    </row>
    <row r="48" spans="1:8" x14ac:dyDescent="0.3">
      <c r="A48">
        <v>1</v>
      </c>
      <c r="B48" t="s">
        <v>230</v>
      </c>
      <c r="C48" t="s">
        <v>86</v>
      </c>
      <c r="D48">
        <v>1</v>
      </c>
    </row>
    <row r="49" spans="1:4" x14ac:dyDescent="0.3">
      <c r="A49">
        <v>7</v>
      </c>
      <c r="B49" t="s">
        <v>229</v>
      </c>
      <c r="C49" t="s">
        <v>139</v>
      </c>
      <c r="D49">
        <v>7</v>
      </c>
    </row>
    <row r="50" spans="1:4" x14ac:dyDescent="0.3">
      <c r="A50">
        <v>10</v>
      </c>
      <c r="B50" t="s">
        <v>228</v>
      </c>
      <c r="C50" t="s">
        <v>140</v>
      </c>
      <c r="D50">
        <v>10</v>
      </c>
    </row>
    <row r="51" spans="1:4" x14ac:dyDescent="0.3">
      <c r="A51">
        <v>7</v>
      </c>
      <c r="B51" t="s">
        <v>227</v>
      </c>
      <c r="C51" t="s">
        <v>139</v>
      </c>
      <c r="D51">
        <v>7</v>
      </c>
    </row>
    <row r="52" spans="1:4" x14ac:dyDescent="0.3">
      <c r="A52">
        <v>8</v>
      </c>
      <c r="B52" t="s">
        <v>226</v>
      </c>
      <c r="C52" t="s">
        <v>102</v>
      </c>
      <c r="D52">
        <v>8</v>
      </c>
    </row>
    <row r="53" spans="1:4" x14ac:dyDescent="0.3">
      <c r="A53">
        <v>10</v>
      </c>
      <c r="B53" t="s">
        <v>225</v>
      </c>
      <c r="C53" t="s">
        <v>140</v>
      </c>
      <c r="D53">
        <v>10</v>
      </c>
    </row>
    <row r="54" spans="1:4" x14ac:dyDescent="0.3">
      <c r="A54">
        <v>11</v>
      </c>
      <c r="B54" t="s">
        <v>224</v>
      </c>
      <c r="C54" t="s">
        <v>141</v>
      </c>
      <c r="D54">
        <v>11</v>
      </c>
    </row>
    <row r="55" spans="1:4" x14ac:dyDescent="0.3">
      <c r="A55">
        <v>10</v>
      </c>
      <c r="B55" t="s">
        <v>223</v>
      </c>
      <c r="C55" t="s">
        <v>140</v>
      </c>
      <c r="D55">
        <v>10</v>
      </c>
    </row>
    <row r="56" spans="1:4" x14ac:dyDescent="0.3">
      <c r="A56">
        <v>8</v>
      </c>
      <c r="B56" t="s">
        <v>222</v>
      </c>
      <c r="C56" t="s">
        <v>102</v>
      </c>
      <c r="D56">
        <v>8</v>
      </c>
    </row>
    <row r="57" spans="1:4" x14ac:dyDescent="0.3">
      <c r="A57">
        <v>2</v>
      </c>
      <c r="B57" t="s">
        <v>221</v>
      </c>
      <c r="C57" t="s">
        <v>136</v>
      </c>
      <c r="D57">
        <v>2</v>
      </c>
    </row>
    <row r="58" spans="1:4" x14ac:dyDescent="0.3">
      <c r="A58">
        <v>3</v>
      </c>
      <c r="B58" t="s">
        <v>220</v>
      </c>
      <c r="C58" t="s">
        <v>103</v>
      </c>
      <c r="D58">
        <v>3</v>
      </c>
    </row>
    <row r="59" spans="1:4" x14ac:dyDescent="0.3">
      <c r="A59">
        <v>1</v>
      </c>
      <c r="B59" t="s">
        <v>219</v>
      </c>
      <c r="C59" t="s">
        <v>86</v>
      </c>
      <c r="D59">
        <v>1</v>
      </c>
    </row>
    <row r="60" spans="1:4" x14ac:dyDescent="0.3">
      <c r="A60">
        <v>5</v>
      </c>
      <c r="B60" t="s">
        <v>218</v>
      </c>
      <c r="C60" t="s">
        <v>137</v>
      </c>
      <c r="D60">
        <v>5</v>
      </c>
    </row>
    <row r="61" spans="1:4" x14ac:dyDescent="0.3">
      <c r="A61">
        <v>1</v>
      </c>
      <c r="B61" t="s">
        <v>217</v>
      </c>
      <c r="C61" t="s">
        <v>86</v>
      </c>
      <c r="D61">
        <v>1</v>
      </c>
    </row>
    <row r="62" spans="1:4" x14ac:dyDescent="0.3">
      <c r="A62">
        <v>9</v>
      </c>
      <c r="B62" t="s">
        <v>216</v>
      </c>
      <c r="C62" t="s">
        <v>107</v>
      </c>
      <c r="D62">
        <v>9</v>
      </c>
    </row>
    <row r="63" spans="1:4" x14ac:dyDescent="0.3">
      <c r="A63">
        <v>9</v>
      </c>
      <c r="B63" t="s">
        <v>215</v>
      </c>
      <c r="C63" t="s">
        <v>107</v>
      </c>
      <c r="D63">
        <v>9</v>
      </c>
    </row>
    <row r="64" spans="1:4" x14ac:dyDescent="0.3">
      <c r="A64">
        <v>2</v>
      </c>
      <c r="B64" t="s">
        <v>214</v>
      </c>
      <c r="C64" t="s">
        <v>136</v>
      </c>
      <c r="D64">
        <v>2</v>
      </c>
    </row>
    <row r="65" spans="1:4" x14ac:dyDescent="0.3">
      <c r="A65">
        <v>10</v>
      </c>
      <c r="B65" t="s">
        <v>213</v>
      </c>
      <c r="C65" t="s">
        <v>140</v>
      </c>
      <c r="D65">
        <v>10</v>
      </c>
    </row>
    <row r="66" spans="1:4" x14ac:dyDescent="0.3">
      <c r="A66">
        <v>2</v>
      </c>
      <c r="B66" t="s">
        <v>212</v>
      </c>
      <c r="C66" t="s">
        <v>136</v>
      </c>
      <c r="D66">
        <v>2</v>
      </c>
    </row>
    <row r="67" spans="1:4" x14ac:dyDescent="0.3">
      <c r="A67">
        <v>8</v>
      </c>
      <c r="B67" t="s">
        <v>211</v>
      </c>
      <c r="C67" t="s">
        <v>102</v>
      </c>
      <c r="D67">
        <v>8</v>
      </c>
    </row>
    <row r="68" spans="1:4" x14ac:dyDescent="0.3">
      <c r="A68">
        <v>2</v>
      </c>
      <c r="B68" t="s">
        <v>210</v>
      </c>
      <c r="C68" t="s">
        <v>136</v>
      </c>
      <c r="D68">
        <v>2</v>
      </c>
    </row>
    <row r="69" spans="1:4" x14ac:dyDescent="0.3">
      <c r="A69">
        <v>10</v>
      </c>
      <c r="B69" t="s">
        <v>209</v>
      </c>
      <c r="C69" t="s">
        <v>140</v>
      </c>
      <c r="D69">
        <v>10</v>
      </c>
    </row>
    <row r="70" spans="1:4" x14ac:dyDescent="0.3">
      <c r="A70">
        <v>6</v>
      </c>
      <c r="B70" t="s">
        <v>208</v>
      </c>
      <c r="C70" t="s">
        <v>138</v>
      </c>
      <c r="D70">
        <v>6</v>
      </c>
    </row>
    <row r="71" spans="1:4" x14ac:dyDescent="0.3">
      <c r="A71">
        <v>3</v>
      </c>
      <c r="B71" t="s">
        <v>207</v>
      </c>
      <c r="C71" t="s">
        <v>103</v>
      </c>
      <c r="D71">
        <v>3</v>
      </c>
    </row>
    <row r="72" spans="1:4" x14ac:dyDescent="0.3">
      <c r="A72">
        <v>3</v>
      </c>
      <c r="B72" t="s">
        <v>206</v>
      </c>
      <c r="C72" t="s">
        <v>103</v>
      </c>
      <c r="D72">
        <v>3</v>
      </c>
    </row>
    <row r="73" spans="1:4" x14ac:dyDescent="0.3">
      <c r="A73">
        <v>9</v>
      </c>
      <c r="B73" t="s">
        <v>205</v>
      </c>
      <c r="C73" t="s">
        <v>107</v>
      </c>
      <c r="D73">
        <v>9</v>
      </c>
    </row>
    <row r="74" spans="1:4" x14ac:dyDescent="0.3">
      <c r="A74">
        <v>4</v>
      </c>
      <c r="B74" t="s">
        <v>204</v>
      </c>
      <c r="C74" t="s">
        <v>106</v>
      </c>
      <c r="D74">
        <v>4</v>
      </c>
    </row>
    <row r="75" spans="1:4" x14ac:dyDescent="0.3">
      <c r="A75">
        <v>12</v>
      </c>
      <c r="B75" t="s">
        <v>203</v>
      </c>
      <c r="C75" t="s">
        <v>109</v>
      </c>
      <c r="D75">
        <v>12</v>
      </c>
    </row>
    <row r="76" spans="1:4" x14ac:dyDescent="0.3">
      <c r="A76">
        <v>10</v>
      </c>
      <c r="B76" t="s">
        <v>202</v>
      </c>
      <c r="C76" t="s">
        <v>140</v>
      </c>
      <c r="D76">
        <v>10</v>
      </c>
    </row>
    <row r="77" spans="1:4" x14ac:dyDescent="0.3">
      <c r="A77">
        <v>2</v>
      </c>
      <c r="B77" t="s">
        <v>201</v>
      </c>
      <c r="C77" t="s">
        <v>136</v>
      </c>
      <c r="D77">
        <v>2</v>
      </c>
    </row>
    <row r="78" spans="1:4" x14ac:dyDescent="0.3">
      <c r="A78">
        <v>7</v>
      </c>
      <c r="B78" t="s">
        <v>200</v>
      </c>
      <c r="C78" t="s">
        <v>139</v>
      </c>
      <c r="D78">
        <v>7</v>
      </c>
    </row>
    <row r="79" spans="1:4" x14ac:dyDescent="0.3">
      <c r="A79">
        <v>10</v>
      </c>
      <c r="B79" t="s">
        <v>199</v>
      </c>
      <c r="C79" t="s">
        <v>140</v>
      </c>
      <c r="D79">
        <v>10</v>
      </c>
    </row>
    <row r="80" spans="1:4" x14ac:dyDescent="0.3">
      <c r="A80">
        <v>3</v>
      </c>
      <c r="B80" t="s">
        <v>198</v>
      </c>
      <c r="C80" t="s">
        <v>103</v>
      </c>
      <c r="D80">
        <v>3</v>
      </c>
    </row>
    <row r="81" spans="1:4" x14ac:dyDescent="0.3">
      <c r="A81">
        <v>10</v>
      </c>
      <c r="B81" t="s">
        <v>197</v>
      </c>
      <c r="C81" t="s">
        <v>140</v>
      </c>
      <c r="D81">
        <v>10</v>
      </c>
    </row>
    <row r="82" spans="1:4" x14ac:dyDescent="0.3">
      <c r="A82">
        <v>9</v>
      </c>
      <c r="B82" t="s">
        <v>196</v>
      </c>
      <c r="C82" t="s">
        <v>107</v>
      </c>
      <c r="D82">
        <v>9</v>
      </c>
    </row>
    <row r="85" spans="1:4" x14ac:dyDescent="0.3">
      <c r="A85" s="193" t="s">
        <v>456</v>
      </c>
    </row>
    <row r="86" spans="1:4" ht="30.75" thickBot="1" x14ac:dyDescent="0.35">
      <c r="A86" s="255" t="s">
        <v>457</v>
      </c>
      <c r="B86" s="256" t="s">
        <v>458</v>
      </c>
    </row>
    <row r="87" spans="1:4" x14ac:dyDescent="0.3">
      <c r="A87" s="257">
        <v>111</v>
      </c>
      <c r="B87" s="257" t="s">
        <v>482</v>
      </c>
    </row>
    <row r="88" spans="1:4" ht="31.5" x14ac:dyDescent="0.3">
      <c r="A88" s="257">
        <v>112</v>
      </c>
      <c r="B88" s="257" t="s">
        <v>483</v>
      </c>
    </row>
    <row r="89" spans="1:4" x14ac:dyDescent="0.3">
      <c r="A89" s="257">
        <v>113</v>
      </c>
      <c r="B89" s="257" t="s">
        <v>484</v>
      </c>
    </row>
    <row r="90" spans="1:4" ht="31.5" x14ac:dyDescent="0.3">
      <c r="A90" s="257">
        <v>114</v>
      </c>
      <c r="B90" s="257" t="s">
        <v>554</v>
      </c>
    </row>
    <row r="91" spans="1:4" ht="31.5" x14ac:dyDescent="0.3">
      <c r="A91" s="257">
        <v>115</v>
      </c>
      <c r="B91" s="257" t="s">
        <v>485</v>
      </c>
    </row>
    <row r="92" spans="1:4" x14ac:dyDescent="0.3">
      <c r="A92" s="257">
        <v>211</v>
      </c>
      <c r="B92" s="257" t="s">
        <v>486</v>
      </c>
    </row>
    <row r="93" spans="1:4" ht="31.5" x14ac:dyDescent="0.3">
      <c r="A93" s="257">
        <v>212</v>
      </c>
      <c r="B93" s="257" t="s">
        <v>487</v>
      </c>
    </row>
    <row r="94" spans="1:4" ht="31.5" x14ac:dyDescent="0.3">
      <c r="A94" s="257">
        <v>213</v>
      </c>
      <c r="B94" s="257" t="s">
        <v>488</v>
      </c>
    </row>
    <row r="95" spans="1:4" x14ac:dyDescent="0.3">
      <c r="A95" s="257">
        <v>221</v>
      </c>
      <c r="B95" s="257" t="s">
        <v>459</v>
      </c>
    </row>
    <row r="96" spans="1:4" x14ac:dyDescent="0.3">
      <c r="A96" s="257">
        <v>236</v>
      </c>
      <c r="B96" s="257" t="s">
        <v>489</v>
      </c>
    </row>
    <row r="97" spans="1:2" ht="31.5" x14ac:dyDescent="0.3">
      <c r="A97" s="257">
        <v>237</v>
      </c>
      <c r="B97" s="257" t="s">
        <v>490</v>
      </c>
    </row>
    <row r="98" spans="1:2" ht="31.5" x14ac:dyDescent="0.3">
      <c r="A98" s="257">
        <v>238</v>
      </c>
      <c r="B98" s="257" t="s">
        <v>553</v>
      </c>
    </row>
    <row r="99" spans="1:2" x14ac:dyDescent="0.3">
      <c r="A99" s="257">
        <v>311</v>
      </c>
      <c r="B99" s="257" t="s">
        <v>491</v>
      </c>
    </row>
    <row r="100" spans="1:2" ht="31.5" x14ac:dyDescent="0.3">
      <c r="A100" s="257">
        <v>312</v>
      </c>
      <c r="B100" s="257" t="s">
        <v>552</v>
      </c>
    </row>
    <row r="101" spans="1:2" x14ac:dyDescent="0.3">
      <c r="A101" s="257">
        <v>313</v>
      </c>
      <c r="B101" s="257" t="s">
        <v>551</v>
      </c>
    </row>
    <row r="102" spans="1:2" x14ac:dyDescent="0.3">
      <c r="A102" s="257">
        <v>314</v>
      </c>
      <c r="B102" s="257" t="s">
        <v>550</v>
      </c>
    </row>
    <row r="103" spans="1:2" x14ac:dyDescent="0.3">
      <c r="A103" s="257">
        <v>315</v>
      </c>
      <c r="B103" s="257" t="s">
        <v>492</v>
      </c>
    </row>
    <row r="104" spans="1:2" ht="31.5" x14ac:dyDescent="0.3">
      <c r="A104" s="257">
        <v>316</v>
      </c>
      <c r="B104" s="257" t="s">
        <v>493</v>
      </c>
    </row>
    <row r="105" spans="1:2" ht="31.5" x14ac:dyDescent="0.3">
      <c r="A105" s="257">
        <v>321</v>
      </c>
      <c r="B105" s="257" t="s">
        <v>494</v>
      </c>
    </row>
    <row r="106" spans="1:2" x14ac:dyDescent="0.3">
      <c r="A106" s="257">
        <v>322</v>
      </c>
      <c r="B106" s="257" t="s">
        <v>495</v>
      </c>
    </row>
    <row r="107" spans="1:2" ht="31.5" x14ac:dyDescent="0.3">
      <c r="A107" s="257">
        <v>323</v>
      </c>
      <c r="B107" s="257" t="s">
        <v>496</v>
      </c>
    </row>
    <row r="108" spans="1:2" ht="31.5" x14ac:dyDescent="0.3">
      <c r="A108" s="257">
        <v>324</v>
      </c>
      <c r="B108" s="257" t="s">
        <v>497</v>
      </c>
    </row>
    <row r="109" spans="1:2" x14ac:dyDescent="0.3">
      <c r="A109" s="257">
        <v>325</v>
      </c>
      <c r="B109" s="257" t="s">
        <v>498</v>
      </c>
    </row>
    <row r="110" spans="1:2" ht="31.5" x14ac:dyDescent="0.3">
      <c r="A110" s="257">
        <v>326</v>
      </c>
      <c r="B110" s="257" t="s">
        <v>499</v>
      </c>
    </row>
    <row r="111" spans="1:2" ht="31.5" x14ac:dyDescent="0.3">
      <c r="A111" s="257">
        <v>327</v>
      </c>
      <c r="B111" s="257" t="s">
        <v>500</v>
      </c>
    </row>
    <row r="112" spans="1:2" ht="31.5" x14ac:dyDescent="0.3">
      <c r="A112" s="257">
        <v>331</v>
      </c>
      <c r="B112" s="257" t="s">
        <v>501</v>
      </c>
    </row>
    <row r="113" spans="1:2" ht="31.5" x14ac:dyDescent="0.3">
      <c r="A113" s="257">
        <v>332</v>
      </c>
      <c r="B113" s="257" t="s">
        <v>502</v>
      </c>
    </row>
    <row r="114" spans="1:2" x14ac:dyDescent="0.3">
      <c r="A114" s="257">
        <v>333</v>
      </c>
      <c r="B114" s="257" t="s">
        <v>503</v>
      </c>
    </row>
    <row r="115" spans="1:2" ht="31.5" x14ac:dyDescent="0.3">
      <c r="A115" s="257">
        <v>334</v>
      </c>
      <c r="B115" s="257" t="s">
        <v>504</v>
      </c>
    </row>
    <row r="116" spans="1:2" ht="47.25" x14ac:dyDescent="0.3">
      <c r="A116" s="257">
        <v>335</v>
      </c>
      <c r="B116" s="257" t="s">
        <v>505</v>
      </c>
    </row>
    <row r="117" spans="1:2" ht="31.5" x14ac:dyDescent="0.3">
      <c r="A117" s="257">
        <v>336</v>
      </c>
      <c r="B117" s="257" t="s">
        <v>543</v>
      </c>
    </row>
    <row r="118" spans="1:2" ht="31.5" x14ac:dyDescent="0.3">
      <c r="A118" s="257">
        <v>337</v>
      </c>
      <c r="B118" s="257" t="s">
        <v>506</v>
      </c>
    </row>
    <row r="119" spans="1:2" ht="31.5" x14ac:dyDescent="0.3">
      <c r="A119" s="257">
        <v>339</v>
      </c>
      <c r="B119" s="257" t="s">
        <v>507</v>
      </c>
    </row>
    <row r="120" spans="1:2" ht="31.5" x14ac:dyDescent="0.3">
      <c r="A120" s="257">
        <v>423</v>
      </c>
      <c r="B120" s="257" t="s">
        <v>460</v>
      </c>
    </row>
    <row r="121" spans="1:2" ht="31.5" x14ac:dyDescent="0.3">
      <c r="A121" s="257">
        <v>424</v>
      </c>
      <c r="B121" s="257" t="s">
        <v>461</v>
      </c>
    </row>
    <row r="122" spans="1:2" ht="47.25" x14ac:dyDescent="0.3">
      <c r="A122" s="257">
        <v>425</v>
      </c>
      <c r="B122" s="257" t="s">
        <v>462</v>
      </c>
    </row>
    <row r="123" spans="1:2" ht="31.5" x14ac:dyDescent="0.3">
      <c r="A123" s="257">
        <v>441</v>
      </c>
      <c r="B123" s="257" t="s">
        <v>463</v>
      </c>
    </row>
    <row r="124" spans="1:2" ht="31.5" x14ac:dyDescent="0.3">
      <c r="A124" s="257">
        <v>442</v>
      </c>
      <c r="B124" s="257" t="s">
        <v>464</v>
      </c>
    </row>
    <row r="125" spans="1:2" ht="31.5" x14ac:dyDescent="0.3">
      <c r="A125" s="257">
        <v>443</v>
      </c>
      <c r="B125" s="257" t="s">
        <v>465</v>
      </c>
    </row>
    <row r="126" spans="1:2" ht="47.25" x14ac:dyDescent="0.3">
      <c r="A126" s="257">
        <v>444</v>
      </c>
      <c r="B126" s="257" t="s">
        <v>466</v>
      </c>
    </row>
    <row r="127" spans="1:2" x14ac:dyDescent="0.3">
      <c r="A127" s="257">
        <v>445</v>
      </c>
      <c r="B127" s="257" t="s">
        <v>467</v>
      </c>
    </row>
    <row r="128" spans="1:2" ht="31.5" x14ac:dyDescent="0.3">
      <c r="A128" s="257">
        <v>446</v>
      </c>
      <c r="B128" s="257" t="s">
        <v>468</v>
      </c>
    </row>
    <row r="129" spans="1:2" x14ac:dyDescent="0.3">
      <c r="A129" s="257">
        <v>447</v>
      </c>
      <c r="B129" s="257" t="s">
        <v>469</v>
      </c>
    </row>
    <row r="130" spans="1:2" ht="31.5" x14ac:dyDescent="0.3">
      <c r="A130" s="257">
        <v>448</v>
      </c>
      <c r="B130" s="257" t="s">
        <v>470</v>
      </c>
    </row>
    <row r="131" spans="1:2" ht="47.25" x14ac:dyDescent="0.3">
      <c r="A131" s="257">
        <v>451</v>
      </c>
      <c r="B131" s="257" t="s">
        <v>471</v>
      </c>
    </row>
    <row r="132" spans="1:2" ht="31.5" x14ac:dyDescent="0.3">
      <c r="A132" s="257">
        <v>452</v>
      </c>
      <c r="B132" s="257" t="s">
        <v>472</v>
      </c>
    </row>
    <row r="133" spans="1:2" ht="31.5" x14ac:dyDescent="0.3">
      <c r="A133" s="257">
        <v>453</v>
      </c>
      <c r="B133" s="257" t="s">
        <v>473</v>
      </c>
    </row>
    <row r="134" spans="1:2" x14ac:dyDescent="0.3">
      <c r="A134" s="257">
        <v>454</v>
      </c>
      <c r="B134" s="257" t="s">
        <v>474</v>
      </c>
    </row>
    <row r="135" spans="1:2" x14ac:dyDescent="0.3">
      <c r="A135" s="257">
        <v>481</v>
      </c>
      <c r="B135" s="257" t="s">
        <v>544</v>
      </c>
    </row>
    <row r="136" spans="1:2" x14ac:dyDescent="0.3">
      <c r="A136" s="257">
        <v>482</v>
      </c>
      <c r="B136" s="257" t="s">
        <v>545</v>
      </c>
    </row>
    <row r="137" spans="1:2" x14ac:dyDescent="0.3">
      <c r="A137" s="257">
        <v>483</v>
      </c>
      <c r="B137" s="257" t="s">
        <v>546</v>
      </c>
    </row>
    <row r="138" spans="1:2" x14ac:dyDescent="0.3">
      <c r="A138" s="257">
        <v>484</v>
      </c>
      <c r="B138" s="257" t="s">
        <v>547</v>
      </c>
    </row>
    <row r="139" spans="1:2" ht="31.5" x14ac:dyDescent="0.3">
      <c r="A139" s="257">
        <v>485</v>
      </c>
      <c r="B139" s="257" t="s">
        <v>548</v>
      </c>
    </row>
    <row r="140" spans="1:2" x14ac:dyDescent="0.3">
      <c r="A140" s="257">
        <v>486</v>
      </c>
      <c r="B140" s="257" t="s">
        <v>542</v>
      </c>
    </row>
    <row r="141" spans="1:2" ht="31.5" x14ac:dyDescent="0.3">
      <c r="A141" s="257">
        <v>487</v>
      </c>
      <c r="B141" s="257" t="s">
        <v>549</v>
      </c>
    </row>
    <row r="142" spans="1:2" ht="31.5" x14ac:dyDescent="0.3">
      <c r="A142" s="257">
        <v>488</v>
      </c>
      <c r="B142" s="257" t="s">
        <v>541</v>
      </c>
    </row>
    <row r="143" spans="1:2" x14ac:dyDescent="0.3">
      <c r="A143" s="257">
        <v>491</v>
      </c>
      <c r="B143" s="257" t="s">
        <v>508</v>
      </c>
    </row>
    <row r="144" spans="1:2" x14ac:dyDescent="0.3">
      <c r="A144" s="257">
        <v>492</v>
      </c>
      <c r="B144" s="257" t="s">
        <v>509</v>
      </c>
    </row>
    <row r="145" spans="1:2" x14ac:dyDescent="0.3">
      <c r="A145" s="257">
        <v>493</v>
      </c>
      <c r="B145" s="257" t="s">
        <v>510</v>
      </c>
    </row>
    <row r="146" spans="1:2" ht="31.5" x14ac:dyDescent="0.3">
      <c r="A146" s="257">
        <v>511</v>
      </c>
      <c r="B146" s="257" t="s">
        <v>511</v>
      </c>
    </row>
    <row r="147" spans="1:2" ht="31.5" x14ac:dyDescent="0.3">
      <c r="A147" s="257">
        <v>512</v>
      </c>
      <c r="B147" s="257" t="s">
        <v>512</v>
      </c>
    </row>
    <row r="148" spans="1:2" ht="31.5" x14ac:dyDescent="0.3">
      <c r="A148" s="257">
        <v>515</v>
      </c>
      <c r="B148" s="257" t="s">
        <v>513</v>
      </c>
    </row>
    <row r="149" spans="1:2" x14ac:dyDescent="0.3">
      <c r="A149" s="257">
        <v>517</v>
      </c>
      <c r="B149" s="257" t="s">
        <v>540</v>
      </c>
    </row>
    <row r="150" spans="1:2" ht="31.5" x14ac:dyDescent="0.3">
      <c r="A150" s="257">
        <v>518</v>
      </c>
      <c r="B150" s="257" t="s">
        <v>514</v>
      </c>
    </row>
    <row r="151" spans="1:2" x14ac:dyDescent="0.3">
      <c r="A151" s="257">
        <v>519</v>
      </c>
      <c r="B151" s="257" t="s">
        <v>515</v>
      </c>
    </row>
    <row r="152" spans="1:2" ht="31.5" x14ac:dyDescent="0.3">
      <c r="A152" s="257">
        <v>521</v>
      </c>
      <c r="B152" s="257" t="s">
        <v>516</v>
      </c>
    </row>
    <row r="153" spans="1:2" ht="31.5" x14ac:dyDescent="0.3">
      <c r="A153" s="257">
        <v>522</v>
      </c>
      <c r="B153" s="257" t="s">
        <v>517</v>
      </c>
    </row>
    <row r="154" spans="1:2" ht="63" x14ac:dyDescent="0.3">
      <c r="A154" s="257">
        <v>523</v>
      </c>
      <c r="B154" s="257" t="s">
        <v>518</v>
      </c>
    </row>
    <row r="155" spans="1:2" ht="31.5" x14ac:dyDescent="0.3">
      <c r="A155" s="257">
        <v>524</v>
      </c>
      <c r="B155" s="257" t="s">
        <v>519</v>
      </c>
    </row>
    <row r="156" spans="1:2" ht="31.5" x14ac:dyDescent="0.3">
      <c r="A156" s="257">
        <v>525</v>
      </c>
      <c r="B156" s="257" t="s">
        <v>555</v>
      </c>
    </row>
    <row r="157" spans="1:2" x14ac:dyDescent="0.3">
      <c r="A157" s="257">
        <v>531</v>
      </c>
      <c r="B157" s="257" t="s">
        <v>520</v>
      </c>
    </row>
    <row r="158" spans="1:2" ht="31.5" x14ac:dyDescent="0.3">
      <c r="A158" s="257">
        <v>532</v>
      </c>
      <c r="B158" s="257" t="s">
        <v>521</v>
      </c>
    </row>
    <row r="159" spans="1:2" ht="47.25" x14ac:dyDescent="0.3">
      <c r="A159" s="257">
        <v>533</v>
      </c>
      <c r="B159" s="257" t="s">
        <v>522</v>
      </c>
    </row>
    <row r="160" spans="1:2" ht="31.5" x14ac:dyDescent="0.3">
      <c r="A160" s="257">
        <v>541</v>
      </c>
      <c r="B160" s="257" t="s">
        <v>556</v>
      </c>
    </row>
    <row r="161" spans="1:2" ht="47.25" x14ac:dyDescent="0.3">
      <c r="A161" s="257">
        <v>551</v>
      </c>
      <c r="B161" s="257" t="s">
        <v>523</v>
      </c>
    </row>
    <row r="162" spans="1:2" ht="31.5" x14ac:dyDescent="0.3">
      <c r="A162" s="257">
        <v>561</v>
      </c>
      <c r="B162" s="257" t="s">
        <v>524</v>
      </c>
    </row>
    <row r="163" spans="1:2" ht="31.5" x14ac:dyDescent="0.3">
      <c r="A163" s="257">
        <v>562</v>
      </c>
      <c r="B163" s="257" t="s">
        <v>525</v>
      </c>
    </row>
    <row r="164" spans="1:2" x14ac:dyDescent="0.3">
      <c r="A164" s="257">
        <v>611</v>
      </c>
      <c r="B164" s="257" t="s">
        <v>526</v>
      </c>
    </row>
    <row r="165" spans="1:2" ht="31.5" x14ac:dyDescent="0.3">
      <c r="A165" s="257">
        <v>621</v>
      </c>
      <c r="B165" s="257" t="s">
        <v>527</v>
      </c>
    </row>
    <row r="166" spans="1:2" x14ac:dyDescent="0.3">
      <c r="A166" s="257">
        <v>622</v>
      </c>
      <c r="B166" s="257" t="s">
        <v>528</v>
      </c>
    </row>
    <row r="167" spans="1:2" ht="31.5" x14ac:dyDescent="0.3">
      <c r="A167" s="257">
        <v>623</v>
      </c>
      <c r="B167" s="257" t="s">
        <v>529</v>
      </c>
    </row>
    <row r="168" spans="1:2" x14ac:dyDescent="0.3">
      <c r="A168" s="257">
        <v>624</v>
      </c>
      <c r="B168" s="257" t="s">
        <v>530</v>
      </c>
    </row>
    <row r="169" spans="1:2" ht="47.25" x14ac:dyDescent="0.3">
      <c r="A169" s="257">
        <v>711</v>
      </c>
      <c r="B169" s="257" t="s">
        <v>531</v>
      </c>
    </row>
    <row r="170" spans="1:2" ht="31.5" x14ac:dyDescent="0.3">
      <c r="A170" s="257">
        <v>712</v>
      </c>
      <c r="B170" s="257" t="s">
        <v>532</v>
      </c>
    </row>
    <row r="171" spans="1:2" ht="31.5" x14ac:dyDescent="0.3">
      <c r="A171" s="257">
        <v>713</v>
      </c>
      <c r="B171" s="257" t="s">
        <v>533</v>
      </c>
    </row>
    <row r="172" spans="1:2" x14ac:dyDescent="0.3">
      <c r="A172" s="257">
        <v>721</v>
      </c>
      <c r="B172" s="257" t="s">
        <v>534</v>
      </c>
    </row>
    <row r="173" spans="1:2" ht="31.5" x14ac:dyDescent="0.3">
      <c r="A173" s="257">
        <v>722</v>
      </c>
      <c r="B173" s="257" t="s">
        <v>535</v>
      </c>
    </row>
    <row r="174" spans="1:2" x14ac:dyDescent="0.3">
      <c r="A174" s="257">
        <v>811</v>
      </c>
      <c r="B174" s="257" t="s">
        <v>536</v>
      </c>
    </row>
    <row r="175" spans="1:2" ht="31.5" x14ac:dyDescent="0.3">
      <c r="A175" s="257">
        <v>812</v>
      </c>
      <c r="B175" s="257" t="s">
        <v>537</v>
      </c>
    </row>
    <row r="176" spans="1:2" ht="47.25" x14ac:dyDescent="0.3">
      <c r="A176" s="257">
        <v>813</v>
      </c>
      <c r="B176" s="257" t="s">
        <v>538</v>
      </c>
    </row>
    <row r="177" spans="1:2" x14ac:dyDescent="0.3">
      <c r="A177" s="257">
        <v>814</v>
      </c>
      <c r="B177" s="257" t="s">
        <v>539</v>
      </c>
    </row>
    <row r="178" spans="1:2" ht="47.25" x14ac:dyDescent="0.3">
      <c r="A178" s="257">
        <v>921</v>
      </c>
      <c r="B178" s="257" t="s">
        <v>475</v>
      </c>
    </row>
    <row r="179" spans="1:2" ht="31.5" x14ac:dyDescent="0.3">
      <c r="A179" s="257">
        <v>922</v>
      </c>
      <c r="B179" s="257" t="s">
        <v>476</v>
      </c>
    </row>
    <row r="180" spans="1:2" ht="31.5" x14ac:dyDescent="0.3">
      <c r="A180" s="257">
        <v>923</v>
      </c>
      <c r="B180" s="257" t="s">
        <v>477</v>
      </c>
    </row>
    <row r="181" spans="1:2" ht="47.25" x14ac:dyDescent="0.3">
      <c r="A181" s="257">
        <v>924</v>
      </c>
      <c r="B181" s="257" t="s">
        <v>478</v>
      </c>
    </row>
    <row r="182" spans="1:2" ht="63" x14ac:dyDescent="0.3">
      <c r="A182" s="257">
        <v>925</v>
      </c>
      <c r="B182" s="257" t="s">
        <v>479</v>
      </c>
    </row>
    <row r="183" spans="1:2" ht="31.5" x14ac:dyDescent="0.3">
      <c r="A183" s="257">
        <v>926</v>
      </c>
      <c r="B183" s="257" t="s">
        <v>480</v>
      </c>
    </row>
    <row r="184" spans="1:2" ht="31.5" x14ac:dyDescent="0.3">
      <c r="A184" s="257">
        <v>927</v>
      </c>
      <c r="B184" s="257" t="s">
        <v>557</v>
      </c>
    </row>
    <row r="185" spans="1:2" ht="31.5" x14ac:dyDescent="0.3">
      <c r="A185" s="257">
        <v>928</v>
      </c>
      <c r="B185" s="257" t="s">
        <v>481</v>
      </c>
    </row>
  </sheetData>
  <dataValidations count="1">
    <dataValidation type="list" allowBlank="1" showInputMessage="1" showErrorMessage="1" sqref="A2:B13 F2:F13">
      <formula1>#REF!</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
  <sheetViews>
    <sheetView workbookViewId="0">
      <selection activeCell="H30" sqref="H30"/>
    </sheetView>
  </sheetViews>
  <sheetFormatPr defaultRowHeight="18.75" x14ac:dyDescent="0.3"/>
  <cols>
    <col min="10" max="10" width="11.09765625" customWidth="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N31"/>
  <sheetViews>
    <sheetView zoomScale="90" zoomScaleNormal="90" workbookViewId="0">
      <selection activeCell="O12" sqref="O12"/>
    </sheetView>
  </sheetViews>
  <sheetFormatPr defaultRowHeight="18.75" x14ac:dyDescent="0.3"/>
  <cols>
    <col min="1" max="1" width="19" customWidth="1"/>
    <col min="2" max="2" width="3.59765625" style="44" customWidth="1"/>
    <col min="3" max="3" width="10.296875" customWidth="1"/>
    <col min="4" max="4" width="8.59765625" customWidth="1"/>
    <col min="5" max="5" width="17.5" customWidth="1"/>
    <col min="6" max="6" width="5.69921875" style="44" customWidth="1"/>
    <col min="7" max="7" width="6.296875" customWidth="1"/>
    <col min="8" max="8" width="10.3984375" customWidth="1"/>
    <col min="9" max="9" width="7.296875" customWidth="1"/>
    <col min="10" max="10" width="5.296875" style="44" customWidth="1"/>
    <col min="11" max="11" width="19.59765625" customWidth="1"/>
    <col min="12" max="12" width="6" style="44" customWidth="1"/>
  </cols>
  <sheetData>
    <row r="1" spans="1:14" ht="36" customHeight="1" x14ac:dyDescent="0.4">
      <c r="A1" s="53"/>
      <c r="B1" s="53"/>
      <c r="C1" s="579" t="str">
        <f>'Area Data'!B1</f>
        <v>King</v>
      </c>
      <c r="D1" s="579"/>
      <c r="E1" s="580" t="s">
        <v>663</v>
      </c>
      <c r="F1" s="580"/>
      <c r="G1" s="580"/>
      <c r="H1" s="580"/>
      <c r="I1" s="580"/>
      <c r="J1" s="47"/>
      <c r="K1" s="53" t="str">
        <f>'Area Data'!G1</f>
        <v>APR-JUN 2012</v>
      </c>
      <c r="L1" s="47"/>
      <c r="M1" s="10"/>
    </row>
    <row r="2" spans="1:14" ht="32.25" customHeight="1" x14ac:dyDescent="0.3">
      <c r="A2" s="23"/>
      <c r="B2" s="40"/>
      <c r="C2" s="23"/>
      <c r="D2" s="23"/>
      <c r="E2" s="23"/>
      <c r="F2" s="40"/>
      <c r="G2" s="23"/>
      <c r="H2" s="23"/>
      <c r="I2" s="23"/>
      <c r="J2" s="40"/>
      <c r="K2" s="23"/>
      <c r="L2" s="43"/>
      <c r="M2" s="10"/>
    </row>
    <row r="3" spans="1:14" ht="18.75" customHeight="1" x14ac:dyDescent="0.3">
      <c r="A3" s="23"/>
      <c r="B3" s="40"/>
      <c r="C3" s="23"/>
      <c r="D3" s="23"/>
      <c r="E3" s="23"/>
      <c r="F3" s="40"/>
      <c r="G3" s="23"/>
      <c r="H3" s="23"/>
      <c r="I3" s="23"/>
      <c r="J3" s="40"/>
      <c r="K3" s="23"/>
      <c r="L3" s="43"/>
      <c r="M3" s="10"/>
    </row>
    <row r="4" spans="1:14" ht="18.75" customHeight="1" x14ac:dyDescent="0.3">
      <c r="A4" s="23"/>
      <c r="B4" s="40"/>
      <c r="C4" s="23"/>
      <c r="D4" s="23"/>
      <c r="E4" s="23"/>
      <c r="F4" s="40"/>
      <c r="G4" s="23"/>
      <c r="H4" s="23"/>
      <c r="I4" s="23"/>
      <c r="J4" s="40"/>
      <c r="K4" s="23"/>
      <c r="L4" s="43"/>
      <c r="M4" s="10"/>
    </row>
    <row r="5" spans="1:14" ht="18.75" customHeight="1" x14ac:dyDescent="0.3">
      <c r="A5" s="23"/>
      <c r="B5" s="40"/>
      <c r="C5" s="23"/>
      <c r="D5" s="23"/>
      <c r="E5" s="23"/>
      <c r="F5" s="40"/>
      <c r="G5" s="23"/>
      <c r="H5" s="23"/>
      <c r="I5" s="23"/>
      <c r="J5" s="40"/>
      <c r="K5" s="23"/>
      <c r="L5" s="43"/>
      <c r="M5" s="10"/>
    </row>
    <row r="6" spans="1:14" ht="18.75" customHeight="1" x14ac:dyDescent="0.3">
      <c r="A6" s="23"/>
      <c r="B6" s="40"/>
      <c r="C6" s="23"/>
      <c r="D6" s="23"/>
      <c r="E6" s="23"/>
      <c r="F6" s="40"/>
      <c r="G6" s="23"/>
      <c r="H6" s="23"/>
      <c r="I6" s="23"/>
      <c r="J6" s="40"/>
      <c r="K6" s="23"/>
      <c r="L6" s="43"/>
      <c r="M6" s="10"/>
    </row>
    <row r="7" spans="1:14" ht="45" customHeight="1" x14ac:dyDescent="0.3">
      <c r="A7" s="23"/>
      <c r="B7" s="40"/>
      <c r="C7" s="23"/>
      <c r="D7" s="23"/>
      <c r="E7" s="23"/>
      <c r="F7" s="40"/>
      <c r="G7" s="23"/>
      <c r="H7" s="24"/>
      <c r="I7" s="16"/>
      <c r="J7" s="50"/>
      <c r="K7" s="10"/>
      <c r="L7" s="43"/>
      <c r="M7" s="10"/>
    </row>
    <row r="8" spans="1:14" ht="19.5" customHeight="1" x14ac:dyDescent="0.3">
      <c r="A8" s="9"/>
      <c r="B8" s="31"/>
      <c r="C8" s="9"/>
      <c r="D8" s="9"/>
      <c r="E8" s="9"/>
      <c r="F8" s="31"/>
      <c r="G8" s="9"/>
      <c r="H8" s="9"/>
      <c r="I8" s="9"/>
      <c r="J8" s="31"/>
      <c r="K8" s="9"/>
      <c r="L8" s="43"/>
      <c r="M8" s="10"/>
    </row>
    <row r="9" spans="1:14" x14ac:dyDescent="0.3">
      <c r="A9" s="9"/>
      <c r="B9" s="31"/>
      <c r="C9" s="9"/>
      <c r="D9" s="9"/>
      <c r="E9" s="9"/>
      <c r="F9" s="31"/>
      <c r="G9" s="9"/>
      <c r="H9" s="9"/>
      <c r="I9" s="9"/>
      <c r="J9" s="31"/>
      <c r="K9" s="9"/>
      <c r="L9" s="43"/>
      <c r="M9" s="10"/>
    </row>
    <row r="10" spans="1:14" x14ac:dyDescent="0.3">
      <c r="A10" s="9"/>
      <c r="B10" s="31"/>
      <c r="C10" s="9"/>
      <c r="D10" s="9"/>
      <c r="E10" s="9"/>
      <c r="F10" s="31"/>
      <c r="G10" s="9"/>
      <c r="H10" s="9"/>
      <c r="I10" s="9"/>
      <c r="J10" s="31"/>
      <c r="K10" s="9"/>
      <c r="L10" s="43"/>
      <c r="M10" s="10"/>
    </row>
    <row r="11" spans="1:14" x14ac:dyDescent="0.3">
      <c r="A11" s="9"/>
      <c r="B11" s="31"/>
      <c r="C11" s="9"/>
      <c r="D11" s="9"/>
      <c r="E11" s="9"/>
      <c r="F11" s="31"/>
      <c r="G11" s="9"/>
      <c r="H11" s="9"/>
      <c r="I11" s="9"/>
      <c r="J11" s="31"/>
      <c r="K11" s="9"/>
      <c r="L11" s="43"/>
      <c r="M11" s="10"/>
    </row>
    <row r="12" spans="1:14" ht="42" customHeight="1" x14ac:dyDescent="0.35">
      <c r="A12" s="25"/>
      <c r="B12" s="41"/>
      <c r="C12" s="141"/>
      <c r="D12" s="141"/>
      <c r="E12" s="581"/>
      <c r="F12" s="45"/>
      <c r="G12" s="26"/>
      <c r="H12" s="27"/>
      <c r="I12" s="26"/>
      <c r="J12" s="51"/>
      <c r="K12" s="28"/>
      <c r="L12" s="19"/>
      <c r="M12" s="10"/>
    </row>
    <row r="13" spans="1:14" ht="18.75" customHeight="1" x14ac:dyDescent="0.35">
      <c r="A13" s="10"/>
      <c r="B13" s="42"/>
      <c r="C13" s="29"/>
      <c r="D13" s="29"/>
      <c r="E13" s="581"/>
      <c r="F13" s="43"/>
      <c r="G13" s="10"/>
      <c r="H13" s="10"/>
      <c r="I13" s="27"/>
      <c r="J13" s="30"/>
      <c r="K13" s="10"/>
      <c r="L13" s="48"/>
      <c r="M13" s="23"/>
      <c r="N13" s="142"/>
    </row>
    <row r="14" spans="1:14" ht="25.5" customHeight="1" x14ac:dyDescent="0.35">
      <c r="A14" s="10"/>
      <c r="B14" s="42"/>
      <c r="C14" s="29"/>
      <c r="D14" s="29"/>
      <c r="E14" s="581"/>
      <c r="F14" s="43"/>
      <c r="G14" s="10"/>
      <c r="H14" s="11"/>
      <c r="I14" s="27"/>
      <c r="J14" s="31"/>
      <c r="K14" s="10"/>
      <c r="L14" s="43"/>
      <c r="M14" s="23"/>
      <c r="N14" s="142"/>
    </row>
    <row r="15" spans="1:14" s="17" customFormat="1" ht="25.5" customHeight="1" x14ac:dyDescent="0.5">
      <c r="A15" s="10"/>
      <c r="B15" s="42"/>
      <c r="C15" s="29"/>
      <c r="D15" s="29"/>
      <c r="E15" s="581"/>
      <c r="F15" s="46"/>
      <c r="G15" s="11"/>
      <c r="H15" s="32"/>
      <c r="I15" s="27"/>
      <c r="J15" s="33"/>
      <c r="K15" s="21"/>
      <c r="L15" s="49"/>
      <c r="M15" s="23"/>
      <c r="N15" s="142"/>
    </row>
    <row r="16" spans="1:14" s="17" customFormat="1" ht="32.25" customHeight="1" x14ac:dyDescent="0.5">
      <c r="A16" s="10"/>
      <c r="B16" s="42"/>
      <c r="C16" s="29"/>
      <c r="D16" s="29"/>
      <c r="E16" s="581"/>
      <c r="F16" s="46"/>
      <c r="G16" s="11"/>
      <c r="H16" s="32"/>
      <c r="I16" s="27"/>
      <c r="J16" s="30"/>
      <c r="K16" s="22"/>
      <c r="L16" s="49"/>
      <c r="M16" s="23"/>
      <c r="N16" s="142"/>
    </row>
    <row r="17" spans="1:14" s="17" customFormat="1" ht="36" customHeight="1" x14ac:dyDescent="0.5">
      <c r="A17" s="10"/>
      <c r="B17" s="42"/>
      <c r="C17" s="29"/>
      <c r="D17" s="29"/>
      <c r="E17" s="581"/>
      <c r="F17" s="20"/>
      <c r="G17" s="20"/>
      <c r="H17" s="32"/>
      <c r="I17" s="27"/>
      <c r="J17" s="30"/>
      <c r="K17" s="22"/>
      <c r="L17" s="49"/>
      <c r="M17" s="23"/>
      <c r="N17" s="142"/>
    </row>
    <row r="18" spans="1:14" ht="28.5" customHeight="1" x14ac:dyDescent="0.35">
      <c r="A18" s="10"/>
      <c r="B18" s="42"/>
      <c r="C18" s="29"/>
      <c r="D18" s="29"/>
      <c r="E18" s="581"/>
      <c r="F18" s="43"/>
      <c r="G18" s="10"/>
      <c r="H18" s="10"/>
      <c r="I18" s="27"/>
      <c r="J18" s="33"/>
      <c r="K18" s="10"/>
      <c r="L18" s="43"/>
      <c r="M18" s="23"/>
      <c r="N18" s="142"/>
    </row>
    <row r="19" spans="1:14" ht="45" customHeight="1" x14ac:dyDescent="0.35">
      <c r="A19" s="10"/>
      <c r="B19" s="43"/>
      <c r="C19" s="10"/>
      <c r="D19" s="10"/>
      <c r="E19" s="581"/>
      <c r="F19" s="43"/>
      <c r="G19" s="10"/>
      <c r="H19" s="10"/>
      <c r="I19" s="27"/>
      <c r="J19" s="33"/>
      <c r="K19" s="10"/>
      <c r="L19" s="40"/>
      <c r="M19" s="23"/>
      <c r="N19" s="142"/>
    </row>
    <row r="20" spans="1:14" s="73" customFormat="1" ht="22.5" customHeight="1" x14ac:dyDescent="0.25">
      <c r="A20" s="582" t="s">
        <v>68</v>
      </c>
      <c r="B20" s="582"/>
      <c r="C20" s="74">
        <f>'Area Data'!C39</f>
        <v>15184</v>
      </c>
      <c r="D20" s="583" t="s">
        <v>17</v>
      </c>
      <c r="E20" s="583"/>
      <c r="F20" s="76">
        <f>'Area Data'!C40</f>
        <v>1.8133280601146926</v>
      </c>
      <c r="G20" s="584" t="s">
        <v>18</v>
      </c>
      <c r="H20" s="584"/>
      <c r="I20" s="104">
        <f>'Area Data'!C41</f>
        <v>0.85813349504963543</v>
      </c>
      <c r="J20" s="575" t="s">
        <v>113</v>
      </c>
      <c r="K20" s="575"/>
      <c r="L20" s="75">
        <f>'Area Data'!C42</f>
        <v>15.134812286689419</v>
      </c>
      <c r="M20" s="71"/>
      <c r="N20" s="72"/>
    </row>
    <row r="21" spans="1:14" ht="32.25" customHeight="1" x14ac:dyDescent="0.35">
      <c r="A21" s="576" t="str">
        <f>'Area Data'!F1</f>
        <v>PY11 Q4</v>
      </c>
      <c r="B21" s="576"/>
      <c r="C21" s="576"/>
      <c r="D21" s="576"/>
      <c r="E21" s="576"/>
      <c r="F21" s="576"/>
      <c r="G21" s="576"/>
      <c r="H21" s="576"/>
      <c r="I21" s="576"/>
      <c r="J21" s="576"/>
      <c r="K21" s="576"/>
      <c r="L21" s="576"/>
      <c r="M21" s="10"/>
    </row>
    <row r="22" spans="1:14" ht="12.75" customHeight="1" x14ac:dyDescent="0.3">
      <c r="A22" s="10"/>
      <c r="B22" s="43"/>
      <c r="C22" s="10"/>
      <c r="D22" s="10"/>
      <c r="E22" s="10"/>
      <c r="F22" s="43"/>
      <c r="G22" s="10"/>
      <c r="H22" s="10"/>
      <c r="I22" s="10"/>
      <c r="J22" s="40"/>
      <c r="K22" s="23"/>
      <c r="L22" s="43"/>
      <c r="M22" s="10"/>
    </row>
    <row r="23" spans="1:14" ht="15.75" customHeight="1" x14ac:dyDescent="0.3">
      <c r="J23" s="143"/>
      <c r="K23" s="142"/>
    </row>
    <row r="24" spans="1:14" ht="18.75" customHeight="1" x14ac:dyDescent="0.3">
      <c r="J24" s="577"/>
      <c r="K24" s="578"/>
    </row>
    <row r="25" spans="1:14" ht="18.75" customHeight="1" x14ac:dyDescent="0.3">
      <c r="J25" s="577"/>
      <c r="K25" s="578"/>
    </row>
    <row r="26" spans="1:14" ht="18.75" customHeight="1" x14ac:dyDescent="0.3">
      <c r="J26" s="143"/>
      <c r="K26" s="142"/>
    </row>
    <row r="29" spans="1:14" x14ac:dyDescent="0.3">
      <c r="K29" s="142"/>
    </row>
    <row r="30" spans="1:14" ht="18.75" customHeight="1" x14ac:dyDescent="0.3"/>
    <row r="31" spans="1:14" ht="18.75" customHeight="1" x14ac:dyDescent="0.3"/>
  </sheetData>
  <sheetProtection sheet="1" objects="1" scenarios="1"/>
  <mergeCells count="10">
    <mergeCell ref="J20:K20"/>
    <mergeCell ref="A21:L21"/>
    <mergeCell ref="J24:J25"/>
    <mergeCell ref="K24:K25"/>
    <mergeCell ref="C1:D1"/>
    <mergeCell ref="E1:I1"/>
    <mergeCell ref="E12:E19"/>
    <mergeCell ref="A20:B20"/>
    <mergeCell ref="D20:E20"/>
    <mergeCell ref="G20:H20"/>
  </mergeCells>
  <pageMargins left="0.18" right="0.18" top="0.43" bottom="0.26" header="0.23" footer="0.17"/>
  <pageSetup scale="9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X66"/>
  <sheetViews>
    <sheetView zoomScale="60" zoomScaleNormal="60" workbookViewId="0">
      <selection activeCell="Q10" sqref="P10:Q10"/>
    </sheetView>
  </sheetViews>
  <sheetFormatPr defaultRowHeight="18.75" x14ac:dyDescent="0.3"/>
  <cols>
    <col min="1" max="1" width="11.09765625" customWidth="1"/>
    <col min="2" max="2" width="12.19921875" customWidth="1"/>
    <col min="4" max="4" width="3.69921875" customWidth="1"/>
    <col min="5" max="5" width="18.19921875" customWidth="1"/>
    <col min="6" max="6" width="17.5" customWidth="1"/>
    <col min="7" max="7" width="10.296875" customWidth="1"/>
    <col min="8" max="8" width="15" customWidth="1"/>
    <col min="9" max="9" width="11.8984375" customWidth="1"/>
    <col min="10" max="10" width="10.3984375" customWidth="1"/>
    <col min="11" max="11" width="8.796875" customWidth="1"/>
    <col min="12" max="12" width="20" customWidth="1"/>
    <col min="13" max="13" width="9" customWidth="1"/>
    <col min="14" max="14" width="10.296875" customWidth="1"/>
    <col min="19" max="19" width="12.3984375" customWidth="1"/>
  </cols>
  <sheetData>
    <row r="1" spans="1:23" ht="39.75" customHeight="1" x14ac:dyDescent="0.4">
      <c r="A1" s="54"/>
      <c r="B1" s="54"/>
      <c r="C1" s="172"/>
      <c r="D1" s="173" t="str">
        <f>'Area Data'!B1</f>
        <v>King</v>
      </c>
      <c r="E1" s="172" t="s">
        <v>154</v>
      </c>
      <c r="F1" s="53"/>
      <c r="G1" s="54"/>
      <c r="H1" s="54"/>
      <c r="I1" s="54"/>
      <c r="J1" s="54"/>
      <c r="K1" s="53"/>
      <c r="L1" s="53"/>
    </row>
    <row r="2" spans="1:23" x14ac:dyDescent="0.3">
      <c r="D2" s="10"/>
      <c r="E2" s="2"/>
      <c r="F2" s="2"/>
      <c r="G2" s="2"/>
      <c r="H2" s="2"/>
      <c r="I2" s="10"/>
      <c r="J2" s="2"/>
      <c r="K2" s="2"/>
      <c r="L2" s="2"/>
      <c r="M2" s="2"/>
      <c r="N2" s="10"/>
      <c r="O2" s="10"/>
    </row>
    <row r="3" spans="1:23" x14ac:dyDescent="0.3">
      <c r="D3" s="10"/>
      <c r="E3" s="2"/>
      <c r="J3" s="2"/>
      <c r="K3" s="2"/>
      <c r="L3" s="2"/>
      <c r="M3" s="2"/>
      <c r="N3" s="10"/>
      <c r="O3" s="10"/>
    </row>
    <row r="4" spans="1:23" x14ac:dyDescent="0.3">
      <c r="D4" s="10"/>
      <c r="E4" s="2"/>
      <c r="K4" s="2"/>
      <c r="L4" s="2"/>
      <c r="M4" s="2"/>
      <c r="N4" s="10"/>
      <c r="O4" s="10"/>
    </row>
    <row r="5" spans="1:23" x14ac:dyDescent="0.3">
      <c r="D5" s="10"/>
      <c r="E5" s="2"/>
      <c r="K5" s="2"/>
      <c r="L5" s="2"/>
      <c r="M5" s="2"/>
      <c r="N5" s="10"/>
      <c r="O5" s="10"/>
    </row>
    <row r="6" spans="1:23" x14ac:dyDescent="0.3">
      <c r="D6" s="10"/>
      <c r="E6" s="2"/>
      <c r="K6" s="2"/>
      <c r="L6" s="2"/>
      <c r="M6" s="2"/>
      <c r="N6" s="10"/>
      <c r="O6" s="10"/>
    </row>
    <row r="7" spans="1:23" x14ac:dyDescent="0.3">
      <c r="D7" s="10"/>
      <c r="E7" s="2"/>
      <c r="F7" s="2"/>
      <c r="G7" s="2"/>
      <c r="K7" s="2"/>
      <c r="L7" s="2"/>
      <c r="M7" s="2"/>
      <c r="N7" s="10"/>
      <c r="O7" s="10"/>
    </row>
    <row r="8" spans="1:23" x14ac:dyDescent="0.3">
      <c r="D8" s="10"/>
      <c r="E8" s="2"/>
      <c r="F8" s="2"/>
      <c r="G8" s="2"/>
      <c r="H8" s="2"/>
      <c r="I8" s="10"/>
      <c r="J8" s="2"/>
      <c r="K8" s="2"/>
      <c r="L8" s="2"/>
      <c r="M8" s="2"/>
      <c r="N8" s="10"/>
      <c r="O8" s="10"/>
    </row>
    <row r="9" spans="1:23" ht="40.5" customHeight="1" x14ac:dyDescent="0.3">
      <c r="D9" s="10"/>
      <c r="E9" s="2"/>
      <c r="F9" s="2"/>
      <c r="G9" s="2"/>
      <c r="H9" s="2"/>
      <c r="I9" s="10"/>
      <c r="J9" s="2"/>
      <c r="K9" s="2"/>
      <c r="L9" s="2"/>
      <c r="M9" s="2"/>
      <c r="N9" s="10"/>
    </row>
    <row r="10" spans="1:23" ht="48" customHeight="1" x14ac:dyDescent="0.3">
      <c r="D10" s="10"/>
      <c r="E10" s="2"/>
      <c r="F10" s="2"/>
      <c r="G10" s="2"/>
      <c r="H10" s="2"/>
      <c r="I10" s="10"/>
      <c r="J10" s="2"/>
      <c r="K10" s="2"/>
      <c r="L10" s="2"/>
      <c r="M10" s="2"/>
      <c r="N10" s="2"/>
      <c r="V10" s="3"/>
    </row>
    <row r="11" spans="1:23" s="1" customFormat="1" ht="40.5" customHeight="1" x14ac:dyDescent="0.3">
      <c r="D11" s="130"/>
      <c r="E11" s="130"/>
      <c r="M11" s="130"/>
      <c r="N11" s="130"/>
      <c r="V11" s="93"/>
    </row>
    <row r="12" spans="1:23" s="1" customFormat="1" ht="40.5" customHeight="1" x14ac:dyDescent="0.3">
      <c r="M12" s="130"/>
      <c r="N12" s="130"/>
      <c r="V12" s="93"/>
    </row>
    <row r="13" spans="1:23" s="1" customFormat="1" ht="40.5" customHeight="1" x14ac:dyDescent="0.3">
      <c r="M13" s="130"/>
      <c r="N13" s="130"/>
      <c r="V13" s="93"/>
    </row>
    <row r="14" spans="1:23" s="1" customFormat="1" ht="40.5" customHeight="1" x14ac:dyDescent="0.3">
      <c r="M14" s="130"/>
      <c r="N14" s="130"/>
      <c r="V14" s="93"/>
    </row>
    <row r="15" spans="1:23" s="1" customFormat="1" ht="40.5" customHeight="1" x14ac:dyDescent="0.3">
      <c r="M15" s="130"/>
      <c r="N15" s="130"/>
      <c r="P15"/>
      <c r="Q15"/>
      <c r="R15"/>
      <c r="S15"/>
      <c r="T15"/>
      <c r="U15"/>
      <c r="V15" s="93"/>
    </row>
    <row r="16" spans="1:23" ht="47.25" customHeight="1" x14ac:dyDescent="0.3">
      <c r="M16" s="94"/>
      <c r="N16" s="2"/>
      <c r="O16" s="10"/>
      <c r="P16" s="1"/>
      <c r="Q16" s="1"/>
      <c r="R16" s="1"/>
      <c r="S16" s="1"/>
      <c r="T16" s="1"/>
      <c r="U16" s="1"/>
      <c r="V16" s="3"/>
      <c r="W16" s="3"/>
    </row>
    <row r="17" spans="1:24" x14ac:dyDescent="0.3">
      <c r="M17" s="2"/>
      <c r="N17" s="2"/>
      <c r="O17" s="2"/>
      <c r="P17" s="1"/>
      <c r="Q17" s="1"/>
      <c r="R17" s="1"/>
      <c r="S17" s="1"/>
      <c r="T17" s="1"/>
      <c r="U17" s="1"/>
      <c r="V17" s="3"/>
      <c r="W17" s="3"/>
    </row>
    <row r="18" spans="1:24" x14ac:dyDescent="0.3">
      <c r="F18" s="2"/>
      <c r="G18" s="2"/>
      <c r="N18" s="2"/>
      <c r="O18" s="98"/>
      <c r="P18" s="1"/>
      <c r="Q18" s="1"/>
      <c r="R18" s="1"/>
      <c r="S18" s="1"/>
      <c r="T18" s="1"/>
      <c r="U18" s="1"/>
      <c r="V18" s="3"/>
      <c r="W18" s="3"/>
    </row>
    <row r="19" spans="1:24" ht="50.25" customHeight="1" x14ac:dyDescent="0.55000000000000004">
      <c r="G19" s="144"/>
      <c r="H19" s="588" t="s">
        <v>89</v>
      </c>
      <c r="I19" s="588"/>
      <c r="J19" s="588"/>
      <c r="K19" s="588"/>
      <c r="L19" s="588"/>
      <c r="M19" s="132"/>
      <c r="N19" s="58"/>
      <c r="O19" s="98"/>
      <c r="P19" s="1"/>
      <c r="Q19" s="1"/>
      <c r="R19" s="1"/>
      <c r="S19" s="1"/>
      <c r="T19" s="1"/>
      <c r="U19" s="1"/>
    </row>
    <row r="20" spans="1:24" ht="28.5" customHeight="1" x14ac:dyDescent="0.5">
      <c r="A20" s="587" t="s">
        <v>190</v>
      </c>
      <c r="B20" s="587"/>
      <c r="C20" s="587"/>
      <c r="D20" s="587"/>
      <c r="E20" s="587"/>
      <c r="F20" s="587"/>
      <c r="G20" s="135"/>
      <c r="H20" s="590" t="s">
        <v>313</v>
      </c>
      <c r="I20" s="590"/>
      <c r="J20" s="590"/>
      <c r="K20" s="591">
        <f ca="1">'Area Data'!G34</f>
        <v>31641.379648084148</v>
      </c>
      <c r="L20" s="591"/>
      <c r="N20" s="2"/>
      <c r="O20" s="98"/>
      <c r="P20" s="1"/>
      <c r="Q20" s="1"/>
      <c r="R20" s="1"/>
      <c r="S20" s="1"/>
      <c r="T20" s="1"/>
      <c r="U20" s="1"/>
      <c r="V20" s="36"/>
      <c r="W20" s="59"/>
    </row>
    <row r="21" spans="1:24" ht="38.25" customHeight="1" x14ac:dyDescent="0.35">
      <c r="A21" s="589" t="s">
        <v>192</v>
      </c>
      <c r="B21" s="589"/>
      <c r="C21" s="589"/>
      <c r="D21" s="589"/>
      <c r="E21" s="146" t="s">
        <v>26</v>
      </c>
      <c r="F21" s="147" t="s">
        <v>193</v>
      </c>
      <c r="G21" s="137"/>
      <c r="H21" s="585" t="s">
        <v>322</v>
      </c>
      <c r="I21" s="585"/>
      <c r="J21" s="585"/>
      <c r="K21" s="586">
        <f>'Area Data'!G36</f>
        <v>0.11</v>
      </c>
      <c r="L21" s="586"/>
      <c r="N21" s="2"/>
      <c r="O21" s="98"/>
      <c r="V21" s="36"/>
      <c r="W21" s="59"/>
    </row>
    <row r="22" spans="1:24" s="1" customFormat="1" ht="39.75" customHeight="1" x14ac:dyDescent="0.35">
      <c r="A22" s="596" t="s">
        <v>1</v>
      </c>
      <c r="B22" s="596"/>
      <c r="C22" s="596"/>
      <c r="D22" s="596"/>
      <c r="E22" s="138">
        <f>'Area Data'!$G$4</f>
        <v>31573</v>
      </c>
      <c r="F22" s="138">
        <f>'Area Data'!$H$4</f>
        <v>64379</v>
      </c>
      <c r="G22" s="137"/>
      <c r="H22" s="590" t="s">
        <v>194</v>
      </c>
      <c r="I22" s="590"/>
      <c r="J22" s="590"/>
      <c r="K22" s="595">
        <f>'Area Data'!G37</f>
        <v>0.91833881737560608</v>
      </c>
      <c r="L22" s="595"/>
      <c r="N22" s="3"/>
      <c r="O22" s="98"/>
      <c r="P22"/>
      <c r="Q22"/>
      <c r="R22" s="3"/>
      <c r="S22" s="3"/>
      <c r="T22" s="3"/>
      <c r="U22" s="3"/>
      <c r="V22" s="39"/>
      <c r="W22" s="39"/>
    </row>
    <row r="23" spans="1:24" ht="31.5" customHeight="1" x14ac:dyDescent="0.35">
      <c r="A23" s="594" t="s">
        <v>2</v>
      </c>
      <c r="B23" s="594"/>
      <c r="C23" s="594"/>
      <c r="D23" s="594"/>
      <c r="E23" s="139">
        <f>'Area Data'!$G$10</f>
        <v>28618</v>
      </c>
      <c r="F23" s="139">
        <f>'Area Data'!$H$10</f>
        <v>35201</v>
      </c>
      <c r="G23" s="137"/>
      <c r="H23" s="585" t="s">
        <v>88</v>
      </c>
      <c r="I23" s="585"/>
      <c r="J23" s="585"/>
      <c r="K23" s="586">
        <f>'Area Data'!G38</f>
        <v>0.44819219478700956</v>
      </c>
      <c r="L23" s="586"/>
      <c r="N23" s="3"/>
      <c r="O23" s="98"/>
      <c r="R23" s="93"/>
      <c r="S23" s="93"/>
      <c r="T23" s="93"/>
      <c r="U23" s="93"/>
      <c r="V23" s="63"/>
      <c r="W23" s="63"/>
    </row>
    <row r="24" spans="1:24" ht="64.5" customHeight="1" x14ac:dyDescent="0.35">
      <c r="A24" s="596" t="s">
        <v>3</v>
      </c>
      <c r="B24" s="596"/>
      <c r="C24" s="596"/>
      <c r="D24" s="596"/>
      <c r="E24" s="140">
        <f>'Area Data'!G16</f>
        <v>520051738</v>
      </c>
      <c r="F24" s="138">
        <f>'Area Data'!H16</f>
        <v>28328</v>
      </c>
      <c r="G24" s="1"/>
      <c r="H24" s="590" t="s">
        <v>90</v>
      </c>
      <c r="I24" s="590"/>
      <c r="J24" s="590"/>
      <c r="K24" s="597" t="str">
        <f>'Area Data'!G39</f>
        <v xml:space="preserve">Professional, Scientific, and Technical Services </v>
      </c>
      <c r="L24" s="597"/>
      <c r="N24" s="3"/>
      <c r="O24" s="98"/>
      <c r="S24" s="93"/>
      <c r="T24" s="93"/>
      <c r="U24" s="93"/>
      <c r="V24" s="70"/>
      <c r="W24" s="70"/>
    </row>
    <row r="25" spans="1:24" ht="63.75" customHeight="1" x14ac:dyDescent="0.35">
      <c r="G25" s="1"/>
      <c r="H25" s="585" t="s">
        <v>191</v>
      </c>
      <c r="I25" s="585"/>
      <c r="J25" s="585"/>
      <c r="K25" s="592" t="str">
        <f>'Area Data'!G40</f>
        <v xml:space="preserve">Amusement, Gambling, and Recreation Industries </v>
      </c>
      <c r="L25" s="592"/>
      <c r="N25" s="3"/>
      <c r="O25" s="98"/>
      <c r="P25" s="1"/>
      <c r="Q25" s="1"/>
      <c r="S25" s="93"/>
      <c r="T25" s="93"/>
      <c r="U25" s="93"/>
      <c r="V25" s="62"/>
      <c r="W25" s="63"/>
      <c r="X25" s="63"/>
    </row>
    <row r="26" spans="1:24" ht="24.75" customHeight="1" x14ac:dyDescent="0.45">
      <c r="A26" s="55"/>
      <c r="B26" s="55"/>
      <c r="C26" s="55"/>
      <c r="D26" s="55"/>
      <c r="E26" s="55"/>
      <c r="F26" s="55"/>
      <c r="G26" s="55"/>
      <c r="H26" s="55"/>
      <c r="I26" s="55"/>
      <c r="J26" s="55"/>
      <c r="K26" s="55"/>
      <c r="L26" s="55" t="str">
        <f>'Area Data'!F1</f>
        <v>PY11 Q4</v>
      </c>
      <c r="N26" s="64"/>
      <c r="O26" s="36"/>
      <c r="P26" s="1"/>
      <c r="Q26" s="1"/>
      <c r="S26" s="93"/>
      <c r="T26" s="93"/>
      <c r="U26" s="93"/>
      <c r="V26" s="2"/>
      <c r="W26" s="2"/>
      <c r="X26" s="2"/>
    </row>
    <row r="27" spans="1:24" ht="24" customHeight="1" x14ac:dyDescent="0.45">
      <c r="L27" s="133"/>
      <c r="N27" s="131"/>
      <c r="O27" s="131"/>
      <c r="R27" s="1"/>
      <c r="S27" s="93"/>
      <c r="T27" s="93"/>
      <c r="U27" s="93"/>
      <c r="V27" s="10"/>
      <c r="W27" s="10"/>
      <c r="X27" s="10"/>
    </row>
    <row r="28" spans="1:24" ht="31.5" customHeight="1" x14ac:dyDescent="0.35">
      <c r="L28" s="133"/>
      <c r="N28" s="593"/>
      <c r="O28" s="57"/>
      <c r="P28" s="3"/>
      <c r="Q28" s="3"/>
      <c r="R28" s="93"/>
      <c r="S28" s="3"/>
      <c r="T28" s="3"/>
      <c r="U28" s="3"/>
      <c r="W28" s="10"/>
      <c r="X28" s="10"/>
    </row>
    <row r="29" spans="1:24" ht="30.75" customHeight="1" x14ac:dyDescent="0.3">
      <c r="H29" s="1"/>
      <c r="I29" s="1"/>
      <c r="J29" s="1"/>
      <c r="K29" s="1"/>
      <c r="L29" s="134"/>
      <c r="M29" s="1"/>
      <c r="N29" s="593"/>
      <c r="O29" s="61"/>
      <c r="P29" s="1"/>
      <c r="Q29" s="1"/>
      <c r="R29" s="93"/>
      <c r="S29" s="3"/>
      <c r="T29" s="3"/>
      <c r="U29" s="3"/>
      <c r="W29" s="10"/>
      <c r="X29" s="10"/>
    </row>
    <row r="30" spans="1:24" ht="52.5" customHeight="1" x14ac:dyDescent="0.3">
      <c r="L30" s="134"/>
      <c r="N30" s="3"/>
      <c r="O30" s="57"/>
      <c r="R30" s="93"/>
      <c r="S30" s="3"/>
      <c r="T30" s="3"/>
      <c r="U30" s="3"/>
    </row>
    <row r="31" spans="1:24" ht="21" x14ac:dyDescent="0.3">
      <c r="L31" s="134"/>
      <c r="O31" s="57"/>
      <c r="R31" s="93"/>
    </row>
    <row r="32" spans="1:24" ht="21" x14ac:dyDescent="0.3">
      <c r="H32" s="1"/>
      <c r="I32" s="1"/>
      <c r="L32" s="134"/>
      <c r="O32" s="2"/>
      <c r="R32" s="3"/>
      <c r="S32" s="2"/>
      <c r="T32" s="2"/>
      <c r="U32" s="58"/>
    </row>
    <row r="33" spans="5:17" ht="28.5" x14ac:dyDescent="0.45">
      <c r="E33" s="2"/>
      <c r="F33" s="131"/>
      <c r="G33" s="131"/>
      <c r="H33" s="2"/>
      <c r="P33" s="1"/>
      <c r="Q33" s="1"/>
    </row>
    <row r="34" spans="5:17" x14ac:dyDescent="0.3">
      <c r="E34" s="10"/>
      <c r="P34" s="1"/>
      <c r="Q34" s="1"/>
    </row>
    <row r="35" spans="5:17" x14ac:dyDescent="0.3">
      <c r="E35" s="23"/>
      <c r="J35" s="2"/>
      <c r="K35" s="2"/>
      <c r="L35" s="58"/>
      <c r="M35" s="10"/>
      <c r="P35" s="1"/>
      <c r="Q35" s="1"/>
    </row>
    <row r="36" spans="5:17" x14ac:dyDescent="0.3">
      <c r="E36" s="23"/>
      <c r="J36" s="60"/>
      <c r="K36" s="60"/>
      <c r="L36" s="66"/>
      <c r="M36" s="10"/>
      <c r="P36" s="1"/>
      <c r="Q36" s="1"/>
    </row>
    <row r="37" spans="5:17" ht="62.25" customHeight="1" x14ac:dyDescent="0.3">
      <c r="E37" s="142"/>
      <c r="J37" s="2"/>
      <c r="K37" s="2"/>
      <c r="L37" s="67"/>
      <c r="N37" s="59"/>
      <c r="P37" s="1"/>
      <c r="Q37" s="1"/>
    </row>
    <row r="38" spans="5:17" x14ac:dyDescent="0.3">
      <c r="I38" s="2"/>
      <c r="J38" s="2"/>
      <c r="K38" s="38"/>
      <c r="L38" s="69"/>
    </row>
    <row r="39" spans="5:17" x14ac:dyDescent="0.3">
      <c r="I39" s="2"/>
      <c r="J39" s="2"/>
      <c r="K39" s="2"/>
      <c r="L39" s="2"/>
    </row>
    <row r="40" spans="5:17" x14ac:dyDescent="0.3">
      <c r="I40" s="37"/>
      <c r="J40" s="2"/>
      <c r="K40" s="2"/>
      <c r="L40" s="2"/>
    </row>
    <row r="41" spans="5:17" x14ac:dyDescent="0.3">
      <c r="I41" s="2"/>
      <c r="J41" s="10"/>
      <c r="K41" s="10"/>
      <c r="L41" s="10"/>
    </row>
    <row r="42" spans="5:17" x14ac:dyDescent="0.3">
      <c r="I42" s="2"/>
      <c r="J42" s="10"/>
      <c r="K42" s="10"/>
      <c r="L42" s="10"/>
    </row>
    <row r="43" spans="5:17" x14ac:dyDescent="0.3">
      <c r="F43" s="59"/>
      <c r="G43" s="59"/>
      <c r="I43" s="57"/>
      <c r="J43" s="10"/>
      <c r="K43" s="10"/>
      <c r="L43" s="10"/>
    </row>
    <row r="44" spans="5:17" x14ac:dyDescent="0.3">
      <c r="F44" s="57"/>
      <c r="G44" s="57"/>
      <c r="H44" s="57"/>
      <c r="I44" s="2"/>
      <c r="M44" s="58"/>
    </row>
    <row r="45" spans="5:17" x14ac:dyDescent="0.3">
      <c r="F45" s="57"/>
      <c r="G45" s="57"/>
      <c r="H45" s="57"/>
      <c r="I45" s="10"/>
    </row>
    <row r="51" spans="16:21" x14ac:dyDescent="0.3">
      <c r="P51" s="61"/>
      <c r="Q51" s="61"/>
      <c r="R51" s="23"/>
    </row>
    <row r="52" spans="16:21" x14ac:dyDescent="0.3">
      <c r="P52" s="22"/>
      <c r="Q52" s="57"/>
      <c r="R52" s="23"/>
    </row>
    <row r="53" spans="16:21" x14ac:dyDescent="0.3">
      <c r="P53" s="68"/>
      <c r="Q53" s="57"/>
      <c r="R53" s="142"/>
    </row>
    <row r="54" spans="16:21" x14ac:dyDescent="0.3">
      <c r="P54" s="57"/>
      <c r="Q54" s="22"/>
      <c r="R54" s="142"/>
    </row>
    <row r="55" spans="16:21" x14ac:dyDescent="0.3">
      <c r="P55" s="2"/>
      <c r="Q55" s="2"/>
    </row>
    <row r="56" spans="16:21" x14ac:dyDescent="0.3">
      <c r="P56" s="10"/>
      <c r="Q56" s="10"/>
      <c r="S56" s="37"/>
      <c r="T56" s="37"/>
      <c r="U56" s="59"/>
    </row>
    <row r="57" spans="16:21" x14ac:dyDescent="0.3">
      <c r="P57" s="23"/>
      <c r="Q57" s="23"/>
    </row>
    <row r="58" spans="16:21" x14ac:dyDescent="0.3">
      <c r="P58" s="23"/>
      <c r="Q58" s="23"/>
    </row>
    <row r="59" spans="16:21" x14ac:dyDescent="0.3">
      <c r="P59" s="142"/>
      <c r="Q59" s="142"/>
    </row>
    <row r="60" spans="16:21" x14ac:dyDescent="0.3">
      <c r="P60" s="142"/>
      <c r="Q60" s="142"/>
      <c r="R60" s="2"/>
    </row>
    <row r="66" spans="16:17" x14ac:dyDescent="0.3">
      <c r="P66" s="57"/>
      <c r="Q66" s="57"/>
    </row>
  </sheetData>
  <mergeCells count="19">
    <mergeCell ref="H25:J25"/>
    <mergeCell ref="K25:L25"/>
    <mergeCell ref="N28:N29"/>
    <mergeCell ref="A23:D23"/>
    <mergeCell ref="H22:J22"/>
    <mergeCell ref="K22:L22"/>
    <mergeCell ref="A24:D24"/>
    <mergeCell ref="H23:J23"/>
    <mergeCell ref="K23:L23"/>
    <mergeCell ref="A22:D22"/>
    <mergeCell ref="H24:J24"/>
    <mergeCell ref="K24:L24"/>
    <mergeCell ref="H21:J21"/>
    <mergeCell ref="K21:L21"/>
    <mergeCell ref="A20:F20"/>
    <mergeCell ref="H19:L19"/>
    <mergeCell ref="A21:D21"/>
    <mergeCell ref="H20:J20"/>
    <mergeCell ref="K20:L20"/>
  </mergeCells>
  <pageMargins left="0.65" right="0.12" top="0.34" bottom="0.03" header="0.22" footer="0.15"/>
  <pageSetup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pageSetUpPr fitToPage="1"/>
  </sheetPr>
  <dimension ref="A1:P78"/>
  <sheetViews>
    <sheetView zoomScale="60" zoomScaleNormal="60" workbookViewId="0">
      <selection activeCell="F1" sqref="F1"/>
    </sheetView>
  </sheetViews>
  <sheetFormatPr defaultRowHeight="18.75" x14ac:dyDescent="0.3"/>
  <cols>
    <col min="1" max="1" width="2.19921875" bestFit="1" customWidth="1"/>
    <col min="2" max="2" width="35.8984375" style="5" bestFit="1" customWidth="1"/>
    <col min="3" max="3" width="10.69921875" style="97" bestFit="1" customWidth="1"/>
    <col min="4" max="4" width="25.09765625" style="97" bestFit="1" customWidth="1"/>
    <col min="5" max="5" width="3.296875" style="77" customWidth="1"/>
    <col min="6" max="6" width="33.19921875" style="8" bestFit="1" customWidth="1"/>
    <col min="7" max="7" width="40.3984375" style="8" bestFit="1" customWidth="1"/>
    <col min="8" max="8" width="11.19921875" style="8" bestFit="1" customWidth="1"/>
    <col min="9" max="9" width="8.69921875" style="1" bestFit="1" customWidth="1"/>
    <col min="10" max="10" width="28" style="1" customWidth="1"/>
    <col min="11" max="11" width="3.3984375" customWidth="1"/>
  </cols>
  <sheetData>
    <row r="1" spans="1:11" ht="28.5" x14ac:dyDescent="0.45">
      <c r="A1" s="260">
        <v>0</v>
      </c>
      <c r="B1" s="148" t="s">
        <v>135</v>
      </c>
      <c r="C1" s="279" t="s">
        <v>286</v>
      </c>
      <c r="D1" s="279">
        <v>2011</v>
      </c>
      <c r="E1" s="152"/>
      <c r="F1" s="153" t="s">
        <v>305</v>
      </c>
      <c r="G1" s="153" t="str">
        <f>'Area Data'!G1</f>
        <v>APR-JUN 2012</v>
      </c>
      <c r="H1" s="259">
        <v>0</v>
      </c>
      <c r="I1" s="153"/>
      <c r="J1" s="154"/>
      <c r="K1" s="155"/>
    </row>
    <row r="2" spans="1:11" s="17" customFormat="1" ht="31.5" x14ac:dyDescent="0.5">
      <c r="A2" s="274"/>
      <c r="B2" s="599" t="s">
        <v>60</v>
      </c>
      <c r="C2" s="599"/>
      <c r="D2" s="599"/>
      <c r="E2" s="156"/>
      <c r="F2" s="599" t="s">
        <v>59</v>
      </c>
      <c r="G2" s="599"/>
      <c r="H2" s="599"/>
      <c r="I2" s="599"/>
      <c r="J2" s="599"/>
      <c r="K2" s="599"/>
    </row>
    <row r="3" spans="1:11" x14ac:dyDescent="0.3">
      <c r="A3" s="149"/>
      <c r="B3" s="373" t="s">
        <v>76</v>
      </c>
      <c r="C3" s="307" t="s">
        <v>251</v>
      </c>
      <c r="D3" s="307" t="s">
        <v>186</v>
      </c>
      <c r="E3" s="171"/>
      <c r="F3" s="308" t="s">
        <v>1</v>
      </c>
      <c r="G3" s="307" t="s">
        <v>20</v>
      </c>
      <c r="H3" s="307" t="s">
        <v>24</v>
      </c>
      <c r="I3" s="307" t="s">
        <v>45</v>
      </c>
      <c r="J3" s="307" t="s">
        <v>91</v>
      </c>
      <c r="K3" s="157"/>
    </row>
    <row r="4" spans="1:11" x14ac:dyDescent="0.3">
      <c r="A4" s="149"/>
      <c r="B4" s="507" t="s">
        <v>8</v>
      </c>
      <c r="C4" s="376">
        <f>GETPIVOTDATA("Sum of all",'State PivotTables'!$A$2)</f>
        <v>178793</v>
      </c>
      <c r="D4" s="343" t="s">
        <v>609</v>
      </c>
      <c r="E4" s="344"/>
      <c r="F4" s="510" t="s">
        <v>21</v>
      </c>
      <c r="G4" s="380">
        <f>VLOOKUP($A$1,'Common Measures'!$A$3:$K$15,3,)</f>
        <v>161484</v>
      </c>
      <c r="H4" s="380">
        <f>VLOOKUP($A$1,'Common Measures'!$A$3:$K$15,4,)</f>
        <v>301515</v>
      </c>
      <c r="I4" s="511">
        <f>VLOOKUP($A$1,'Common Measures'!$A$3:$K$15,5,)</f>
        <v>0.53557534451022337</v>
      </c>
      <c r="J4" s="382">
        <f>'Common Measures'!C16</f>
        <v>0.52</v>
      </c>
      <c r="K4" s="157"/>
    </row>
    <row r="5" spans="1:11" x14ac:dyDescent="0.3">
      <c r="A5" s="149"/>
      <c r="B5" s="508" t="s">
        <v>81</v>
      </c>
      <c r="C5" s="384">
        <f>GETPIVOTDATA("Sum of staffassist",'State PivotTables'!$A$2)</f>
        <v>101132</v>
      </c>
      <c r="D5" s="385">
        <f>C5/C4</f>
        <v>0.56563735716722685</v>
      </c>
      <c r="E5" s="344"/>
      <c r="F5" s="512"/>
      <c r="G5" s="388"/>
      <c r="H5" s="388"/>
      <c r="I5" s="513"/>
      <c r="J5" s="390"/>
      <c r="K5" s="157"/>
    </row>
    <row r="6" spans="1:11" ht="19.5" thickBot="1" x14ac:dyDescent="0.35">
      <c r="A6" s="149"/>
      <c r="B6" s="80" t="s">
        <v>41</v>
      </c>
      <c r="C6" s="376">
        <f>GETPIVOTDATA("Sum of self",'State PivotTables'!$A$2)</f>
        <v>77661</v>
      </c>
      <c r="D6" s="392">
        <f>C6/C4</f>
        <v>0.43436264283277309</v>
      </c>
      <c r="E6" s="344"/>
      <c r="F6" s="510" t="s">
        <v>10</v>
      </c>
      <c r="G6" s="380">
        <f>VLOOKUP('State Data'!A1,'Common Measures'!$A$19:$AK$31,2,)</f>
        <v>1841</v>
      </c>
      <c r="H6" s="380">
        <f>VLOOKUP('State Data'!A1,'Common Measures'!$A$19:$AK$31,3,)</f>
        <v>2450</v>
      </c>
      <c r="I6" s="382">
        <f>VLOOKUP('State Data'!A1,'Common Measures'!$A$19:$AK$31,4,)</f>
        <v>0.75142857142857145</v>
      </c>
      <c r="J6" s="382">
        <f>VLOOKUP('State Data'!A1,'Common Measures'!$A$19:$AK$31,5,)</f>
        <v>0.752</v>
      </c>
      <c r="K6" s="157"/>
    </row>
    <row r="7" spans="1:11" x14ac:dyDescent="0.3">
      <c r="A7" s="149"/>
      <c r="B7" s="533" t="s">
        <v>693</v>
      </c>
      <c r="C7" s="409">
        <f>GETPIVOTDATA("Sum of SSMS",'State PivotTables'!$A$2)</f>
        <v>26793</v>
      </c>
      <c r="D7" s="534"/>
      <c r="E7" s="344"/>
      <c r="F7" s="512"/>
      <c r="G7" s="388"/>
      <c r="H7" s="388"/>
      <c r="I7" s="390"/>
      <c r="J7" s="390"/>
      <c r="K7" s="157"/>
    </row>
    <row r="8" spans="1:11" ht="19.5" thickBot="1" x14ac:dyDescent="0.35">
      <c r="A8" s="149"/>
      <c r="B8" s="533" t="s">
        <v>697</v>
      </c>
      <c r="C8" s="409">
        <f>GETPIVOTDATA("Sum of GO2",'State PivotTables'!$A$2)</f>
        <v>63917</v>
      </c>
      <c r="D8" s="535"/>
      <c r="E8" s="344"/>
      <c r="F8" s="510" t="s">
        <v>22</v>
      </c>
      <c r="G8" s="380">
        <f>VLOOKUP('State Data'!A1,'Common Measures'!$A$19:$AK$31,14,)</f>
        <v>3037</v>
      </c>
      <c r="H8" s="380">
        <f>VLOOKUP('State Data'!A1,'Common Measures'!$A$19:$AK$31,15,)</f>
        <v>3709</v>
      </c>
      <c r="I8" s="382">
        <f>VLOOKUP('State Data'!A1,'Common Measures'!$A$19:$AK$31,16,)</f>
        <v>0.81881908870315445</v>
      </c>
      <c r="J8" s="382">
        <f>VLOOKUP('State Data'!A1,'Common Measures'!$A$19:$AK$31,17,)</f>
        <v>0.73599999999999999</v>
      </c>
      <c r="K8" s="157"/>
    </row>
    <row r="9" spans="1:11" x14ac:dyDescent="0.3">
      <c r="A9" s="149"/>
      <c r="B9" s="508" t="s">
        <v>567</v>
      </c>
      <c r="C9" s="384">
        <f>GETPIVOTDATA("Sum of UI",'State PivotTables'!$A$2)</f>
        <v>51011</v>
      </c>
      <c r="D9" s="385">
        <f>C9/$C$5</f>
        <v>0.50440018985088797</v>
      </c>
      <c r="E9" s="344"/>
      <c r="F9" s="348" t="s">
        <v>2</v>
      </c>
      <c r="G9" s="346" t="s">
        <v>23</v>
      </c>
      <c r="H9" s="346" t="s">
        <v>24</v>
      </c>
      <c r="I9" s="346" t="s">
        <v>135</v>
      </c>
      <c r="J9" s="346" t="s">
        <v>91</v>
      </c>
      <c r="K9" s="157"/>
    </row>
    <row r="10" spans="1:11" x14ac:dyDescent="0.3">
      <c r="A10" s="149"/>
      <c r="B10" s="80" t="s">
        <v>568</v>
      </c>
      <c r="C10" s="376">
        <f>GETPIVOTDATA("Sum of Vets",'State PivotTables'!$A$2)</f>
        <v>9756</v>
      </c>
      <c r="D10" s="392">
        <f t="shared" ref="D10:D11" si="0">C10/$C$5</f>
        <v>9.6467982438792871E-2</v>
      </c>
      <c r="E10" s="344"/>
      <c r="F10" s="510" t="s">
        <v>21</v>
      </c>
      <c r="G10" s="380">
        <f>VLOOKUP($A$1,'Common Measures'!$A$3:$K$15,6,)</f>
        <v>211074</v>
      </c>
      <c r="H10" s="380">
        <f>VLOOKUP($A$1,'Common Measures'!$A$3:$K$15,7,)</f>
        <v>262931</v>
      </c>
      <c r="I10" s="511">
        <f>VLOOKUP($A$1,'Common Measures'!$A$3:$K$15,8,)</f>
        <v>0.80277335118339033</v>
      </c>
      <c r="J10" s="382">
        <f>'Common Measures'!E16</f>
        <v>0.76600000000000001</v>
      </c>
      <c r="K10" s="157"/>
    </row>
    <row r="11" spans="1:11" x14ac:dyDescent="0.3">
      <c r="A11" s="149"/>
      <c r="B11" s="508" t="s">
        <v>569</v>
      </c>
      <c r="C11" s="384">
        <f>GETPIVOTDATA("Sum of WF",'State PivotTables'!$A$2)</f>
        <v>6455</v>
      </c>
      <c r="D11" s="385">
        <f t="shared" si="0"/>
        <v>6.3827473005576868E-2</v>
      </c>
      <c r="E11" s="344"/>
      <c r="F11" s="512"/>
      <c r="G11" s="388"/>
      <c r="H11" s="388"/>
      <c r="I11" s="513"/>
      <c r="J11" s="390"/>
      <c r="K11" s="157"/>
    </row>
    <row r="12" spans="1:11" x14ac:dyDescent="0.3">
      <c r="A12" s="149"/>
      <c r="B12" s="80" t="s">
        <v>42</v>
      </c>
      <c r="C12" s="376">
        <f>GETPIVOTDATA("Sum of core",'State PivotTables'!$A$2)</f>
        <v>88089</v>
      </c>
      <c r="D12" s="392">
        <f>C12/$C$5</f>
        <v>0.87102994106712017</v>
      </c>
      <c r="E12" s="344"/>
      <c r="F12" s="510" t="s">
        <v>10</v>
      </c>
      <c r="G12" s="380">
        <f>VLOOKUP('State Data'!A1,'Common Measures'!$A$19:$AK$31,6,)</f>
        <v>2170</v>
      </c>
      <c r="H12" s="380">
        <f>VLOOKUP('State Data'!A1,'Common Measures'!$A$19:$AK$31,7,)</f>
        <v>2516</v>
      </c>
      <c r="I12" s="382">
        <f>VLOOKUP('State Data'!A1,'Common Measures'!$A$19:$AK$31,8,)</f>
        <v>0.86248012718600953</v>
      </c>
      <c r="J12" s="382">
        <f>VLOOKUP('State Data'!A1,'Common Measures'!$A$19:$AK$31,9,)</f>
        <v>0.81</v>
      </c>
      <c r="K12" s="157"/>
    </row>
    <row r="13" spans="1:11" x14ac:dyDescent="0.3">
      <c r="A13" s="149"/>
      <c r="B13" s="508" t="s">
        <v>39</v>
      </c>
      <c r="C13" s="384">
        <f>GETPIVOTDATA("Sum of coreint",'State PivotTables'!$A$2)</f>
        <v>10255</v>
      </c>
      <c r="D13" s="385">
        <f>C13/$C$5</f>
        <v>0.10140212791203576</v>
      </c>
      <c r="E13" s="344"/>
      <c r="F13" s="512"/>
      <c r="G13" s="388"/>
      <c r="H13" s="388"/>
      <c r="I13" s="390"/>
      <c r="J13" s="390"/>
      <c r="K13" s="157"/>
    </row>
    <row r="14" spans="1:11" x14ac:dyDescent="0.3">
      <c r="A14" s="149"/>
      <c r="B14" s="80" t="s">
        <v>82</v>
      </c>
      <c r="C14" s="376">
        <f>GETPIVOTDATA("Sum of newtraining",'State PivotTables'!$A$2)</f>
        <v>2788</v>
      </c>
      <c r="D14" s="392">
        <f>C14/$C$5</f>
        <v>2.7567931020844046E-2</v>
      </c>
      <c r="E14" s="344"/>
      <c r="F14" s="510" t="s">
        <v>22</v>
      </c>
      <c r="G14" s="380">
        <f>VLOOKUP('State Data'!A1,'Common Measures'!$A$19:$AK$31,18,)</f>
        <v>2656</v>
      </c>
      <c r="H14" s="380">
        <f>VLOOKUP('State Data'!A1,'Common Measures'!$A$19:$AK$31,19,)</f>
        <v>2992</v>
      </c>
      <c r="I14" s="382">
        <f>VLOOKUP('State Data'!A1,'Common Measures'!$A$19:$AK$31,20,)</f>
        <v>0.88770053475935828</v>
      </c>
      <c r="J14" s="382">
        <f>VLOOKUP('State Data'!A1,'Common Measures'!$A$19:$AK$31,21,)</f>
        <v>0.83899999999999997</v>
      </c>
      <c r="K14" s="157"/>
    </row>
    <row r="15" spans="1:11" x14ac:dyDescent="0.3">
      <c r="A15" s="149"/>
      <c r="B15" s="508" t="s">
        <v>83</v>
      </c>
      <c r="C15" s="384">
        <f>GETPIVOTDATA("Sum of ongoing",'State PivotTables'!$A$2)</f>
        <v>8302</v>
      </c>
      <c r="D15" s="385">
        <f>C15/$C$5</f>
        <v>8.2090732903532013E-2</v>
      </c>
      <c r="E15" s="349"/>
      <c r="F15" s="348" t="s">
        <v>3</v>
      </c>
      <c r="G15" s="346" t="s">
        <v>25</v>
      </c>
      <c r="H15" s="346" t="s">
        <v>24</v>
      </c>
      <c r="I15" s="346" t="s">
        <v>135</v>
      </c>
      <c r="J15" s="346" t="s">
        <v>91</v>
      </c>
      <c r="K15" s="157"/>
    </row>
    <row r="16" spans="1:11" x14ac:dyDescent="0.3">
      <c r="A16" s="149"/>
      <c r="B16" s="509" t="s">
        <v>28</v>
      </c>
      <c r="C16" s="396">
        <f>GETPIVOTDATA("Sum of complete",'State PivotTables'!$A$2)</f>
        <v>3806</v>
      </c>
      <c r="D16" s="392">
        <f>C16/$C$5</f>
        <v>3.763398330894277E-2</v>
      </c>
      <c r="E16" s="344"/>
      <c r="F16" s="510" t="s">
        <v>21</v>
      </c>
      <c r="G16" s="400">
        <f>VLOOKUP($A$1,'Common Measures'!$A$3:$K$15,9,)</f>
        <v>3120154224</v>
      </c>
      <c r="H16" s="401">
        <f>VLOOKUP($A$1,'Common Measures'!$A$3:$K$15,10,)</f>
        <v>209215</v>
      </c>
      <c r="I16" s="517">
        <f>VLOOKUP($A$1,'Common Measures'!$A$3:$K$15,11,)</f>
        <v>14913.625810768826</v>
      </c>
      <c r="J16" s="402">
        <f>'Common Measures'!G16</f>
        <v>13500</v>
      </c>
      <c r="K16" s="157"/>
    </row>
    <row r="17" spans="1:16" x14ac:dyDescent="0.3">
      <c r="A17" s="149"/>
      <c r="B17" s="373" t="s">
        <v>77</v>
      </c>
      <c r="C17" s="345" t="s">
        <v>250</v>
      </c>
      <c r="D17" s="346" t="s">
        <v>186</v>
      </c>
      <c r="E17" s="344"/>
      <c r="F17" s="512"/>
      <c r="G17" s="405"/>
      <c r="H17" s="406"/>
      <c r="I17" s="518"/>
      <c r="J17" s="407"/>
      <c r="K17" s="157"/>
    </row>
    <row r="18" spans="1:16" x14ac:dyDescent="0.3">
      <c r="A18" s="149"/>
      <c r="B18" s="514" t="s">
        <v>246</v>
      </c>
      <c r="C18" s="398">
        <f>GETPIVOTDATA("Sum of MgtIndCountJobSearch_SEEKERID",'State PivotTables'!$A$7)</f>
        <v>70547</v>
      </c>
      <c r="D18" s="399">
        <f>C18/$C$5</f>
        <v>0.69757346833840916</v>
      </c>
      <c r="E18" s="344"/>
      <c r="F18" s="510" t="s">
        <v>10</v>
      </c>
      <c r="G18" s="380">
        <f>VLOOKUP('State Data'!A1,'Common Measures'!$A$19:$AK$31,10,)</f>
        <v>30567299</v>
      </c>
      <c r="H18" s="380">
        <f>VLOOKUP('State Data'!A1,'Common Measures'!$A$19:$AK$31,11,)</f>
        <v>2160</v>
      </c>
      <c r="I18" s="402">
        <f>VLOOKUP('State Data'!A1,'Common Measures'!$A$19:$AK$31,12,)</f>
        <v>14151.527314814815</v>
      </c>
      <c r="J18" s="402">
        <f>VLOOKUP('State Data'!A1,'Common Measures'!$A$19:$AK$31,13,)</f>
        <v>9456</v>
      </c>
      <c r="K18" s="157"/>
    </row>
    <row r="19" spans="1:16" x14ac:dyDescent="0.3">
      <c r="A19" s="150"/>
      <c r="B19" s="515" t="s">
        <v>43</v>
      </c>
      <c r="C19" s="384">
        <f>GETPIVOTDATA("Sum of MgtIndCountAssessment_SEEKERID",'State PivotTables'!$A$7)</f>
        <v>35421</v>
      </c>
      <c r="D19" s="404">
        <f>C19/$C$5</f>
        <v>0.35024522406360004</v>
      </c>
      <c r="E19" s="344"/>
      <c r="F19" s="512"/>
      <c r="G19" s="388"/>
      <c r="H19" s="388"/>
      <c r="I19" s="407"/>
      <c r="J19" s="407"/>
      <c r="K19" s="157"/>
    </row>
    <row r="20" spans="1:16" x14ac:dyDescent="0.3">
      <c r="A20" s="149"/>
      <c r="B20" s="516" t="s">
        <v>11</v>
      </c>
      <c r="C20" s="398">
        <f>GETPIVOTDATA("Sum of MgtIndCountSkillsDev_SEEKERID",'State PivotTables'!$A$7)</f>
        <v>6450</v>
      </c>
      <c r="D20" s="399">
        <f>C20/$C$5</f>
        <v>6.3778032670173637E-2</v>
      </c>
      <c r="E20" s="349"/>
      <c r="F20" s="510" t="s">
        <v>22</v>
      </c>
      <c r="G20" s="380">
        <f>VLOOKUP('State Data'!A1,'Common Measures'!$A$19:$AK$31,22,)</f>
        <v>52719035</v>
      </c>
      <c r="H20" s="380">
        <f>VLOOKUP('State Data'!A1,'Common Measures'!$A$19:$AK$31,23,)</f>
        <v>2630</v>
      </c>
      <c r="I20" s="402">
        <f>VLOOKUP('State Data'!A1,'Common Measures'!$A$19:$AK$31,24,)</f>
        <v>20045.260456273765</v>
      </c>
      <c r="J20" s="402">
        <f>VLOOKUP('State Data'!A1,'Common Measures'!$A$19:$AK$31,25,)</f>
        <v>14043</v>
      </c>
      <c r="K20" s="157"/>
    </row>
    <row r="21" spans="1:16" s="1" customFormat="1" x14ac:dyDescent="0.3">
      <c r="A21" s="149"/>
      <c r="B21" s="508" t="s">
        <v>44</v>
      </c>
      <c r="C21" s="384">
        <f>GETPIVOTDATA("Sum of MgtIndCountCommSvcs_SEEKERID",'State PivotTables'!$A$7)</f>
        <v>1927</v>
      </c>
      <c r="D21" s="404">
        <f>C21/$C$5</f>
        <v>1.9054305264406914E-2</v>
      </c>
      <c r="E21" s="344"/>
      <c r="F21" s="348" t="s">
        <v>4</v>
      </c>
      <c r="G21" s="346" t="s">
        <v>29</v>
      </c>
      <c r="H21" s="346" t="s">
        <v>24</v>
      </c>
      <c r="I21" s="346" t="s">
        <v>135</v>
      </c>
      <c r="J21" s="346" t="s">
        <v>91</v>
      </c>
      <c r="K21" s="157"/>
    </row>
    <row r="22" spans="1:16" x14ac:dyDescent="0.3">
      <c r="A22" s="149"/>
      <c r="B22" s="373" t="s">
        <v>13</v>
      </c>
      <c r="C22" s="345" t="s">
        <v>250</v>
      </c>
      <c r="D22" s="345" t="s">
        <v>85</v>
      </c>
      <c r="E22" s="344"/>
      <c r="F22" s="510" t="s">
        <v>5</v>
      </c>
      <c r="G22" s="380">
        <f>VLOOKUP('State Data'!A1,'Common Measures'!$A$19:$AK$31,26,)</f>
        <v>1040</v>
      </c>
      <c r="H22" s="380">
        <f>VLOOKUP('State Data'!A1,'Common Measures'!$A$19:$AK$31,27,)</f>
        <v>1401</v>
      </c>
      <c r="I22" s="382">
        <f>VLOOKUP('State Data'!A1,'Common Measures'!$A$19:$AK$31,28,)</f>
        <v>0.74232690935046397</v>
      </c>
      <c r="J22" s="382">
        <f>VLOOKUP('State Data'!A1,'Common Measures'!$A$19:$AK$31,29,)</f>
        <v>0.753</v>
      </c>
      <c r="K22" s="157"/>
    </row>
    <row r="23" spans="1:16" x14ac:dyDescent="0.3">
      <c r="A23" s="150"/>
      <c r="B23" s="80" t="s">
        <v>13</v>
      </c>
      <c r="C23" s="376">
        <f>GETPIVOTDATA("Sum of currentprogram",'State PivotTables'!$A$12)</f>
        <v>18768</v>
      </c>
      <c r="D23" s="409">
        <f>GETPIVOTDATA("Sum of program1yearago",'State PivotTables'!$A$12)</f>
        <v>21665</v>
      </c>
      <c r="E23" s="344"/>
      <c r="F23" s="512"/>
      <c r="G23" s="388"/>
      <c r="H23" s="388"/>
      <c r="I23" s="390"/>
      <c r="J23" s="390"/>
      <c r="K23" s="157"/>
      <c r="O23" s="12"/>
      <c r="P23" s="14"/>
    </row>
    <row r="24" spans="1:16" x14ac:dyDescent="0.3">
      <c r="A24" s="149"/>
      <c r="B24" s="508" t="s">
        <v>12</v>
      </c>
      <c r="C24" s="519">
        <f>GETPIVOTDATA("Sum of wiacurrent",'State PivotTables'!$A$12)</f>
        <v>9544</v>
      </c>
      <c r="D24" s="410">
        <f>GETPIVOTDATA("Sum of wia1yearago",'State PivotTables'!$A$12)</f>
        <v>11139</v>
      </c>
      <c r="E24" s="344"/>
      <c r="F24" s="510" t="s">
        <v>6</v>
      </c>
      <c r="G24" s="380">
        <f>VLOOKUP('State Data'!A1,'Common Measures'!$A$19:$AK$31,30,)</f>
        <v>370</v>
      </c>
      <c r="H24" s="380">
        <f>VLOOKUP('State Data'!A1,'Common Measures'!$A$19:$AK$31,31,)</f>
        <v>753</v>
      </c>
      <c r="I24" s="382">
        <f>VLOOKUP('State Data'!A1,'Common Measures'!$A$19:$AK$31,32,)</f>
        <v>0.49136786188579018</v>
      </c>
      <c r="J24" s="382">
        <f>VLOOKUP('State Data'!A1,'Common Measures'!$A$19:$AK$31,33,)</f>
        <v>0.44</v>
      </c>
      <c r="K24" s="157"/>
    </row>
    <row r="25" spans="1:16" x14ac:dyDescent="0.3">
      <c r="A25" s="151"/>
      <c r="B25" s="80" t="s">
        <v>14</v>
      </c>
      <c r="C25" s="376">
        <f>GETPIVOTDATA("Sum of wianewcurrent",'State PivotTables'!$A$12)</f>
        <v>1705</v>
      </c>
      <c r="D25" s="409">
        <f>GETPIVOTDATA("Sum of wianew1yearago",'State PivotTables'!$A$12)</f>
        <v>1528</v>
      </c>
      <c r="E25" s="349"/>
      <c r="F25" s="512"/>
      <c r="G25" s="388"/>
      <c r="H25" s="388"/>
      <c r="I25" s="390"/>
      <c r="J25" s="390"/>
      <c r="K25" s="157"/>
      <c r="O25" s="12"/>
      <c r="P25" s="14"/>
    </row>
    <row r="26" spans="1:16" s="1" customFormat="1" x14ac:dyDescent="0.3">
      <c r="A26" s="151"/>
      <c r="B26" s="520" t="s">
        <v>15</v>
      </c>
      <c r="C26" s="384">
        <f>GETPIVOTDATA("Sum of wiaexitcurrent",'State PivotTables'!$A$12)</f>
        <v>2003</v>
      </c>
      <c r="D26" s="410">
        <f>GETPIVOTDATA("Sum of wiaexit1yearago",'State PivotTables'!$A$12)</f>
        <v>5022</v>
      </c>
      <c r="E26" s="344"/>
      <c r="F26" s="510" t="s">
        <v>7</v>
      </c>
      <c r="G26" s="380">
        <f>VLOOKUP('State Data'!A1,'Common Measures'!$A$19:$AK$31,34,)</f>
        <v>1123</v>
      </c>
      <c r="H26" s="380">
        <f>VLOOKUP('State Data'!A1,'Common Measures'!$A$19:$AK$31,35,)</f>
        <v>1671</v>
      </c>
      <c r="I26" s="382">
        <f>VLOOKUP('State Data'!A1,'Common Measures'!$A$19:$AK$31,36,)</f>
        <v>0.67205266307600242</v>
      </c>
      <c r="J26" s="382">
        <f>VLOOKUP('State Data'!A1,'Common Measures'!$A$19:$AK$31,37,)</f>
        <v>0.53900000000000003</v>
      </c>
      <c r="K26" s="157"/>
      <c r="O26" s="13"/>
      <c r="P26" s="13"/>
    </row>
    <row r="27" spans="1:16" x14ac:dyDescent="0.3">
      <c r="A27" s="151"/>
      <c r="B27" s="373" t="s">
        <v>78</v>
      </c>
      <c r="C27" s="345" t="s">
        <v>84</v>
      </c>
      <c r="D27" s="345" t="s">
        <v>85</v>
      </c>
      <c r="E27" s="344"/>
      <c r="F27" s="348" t="s">
        <v>30</v>
      </c>
      <c r="G27" s="346" t="str">
        <f>VLOOKUP($F$1,Lists!$A$16:$H$44,5,)</f>
        <v>PY10 Q2</v>
      </c>
      <c r="H27" s="346" t="str">
        <f>VLOOKUP($F$1,Lists!$A$16:$H$44,6,)</f>
        <v>PY10 Q3</v>
      </c>
      <c r="I27" s="346" t="str">
        <f>VLOOKUP($F$1,Lists!$A$16:$H$44,7,)</f>
        <v>PY10 Q4</v>
      </c>
      <c r="J27" s="346" t="str">
        <f>VLOOKUP($F$1,Lists!$A$16:$H$44,8,)</f>
        <v>PY11 Q1</v>
      </c>
      <c r="K27" s="157"/>
      <c r="O27" s="12"/>
      <c r="P27" s="14"/>
    </row>
    <row r="28" spans="1:16" x14ac:dyDescent="0.3">
      <c r="A28" s="151"/>
      <c r="B28" s="521" t="s">
        <v>9</v>
      </c>
      <c r="C28" s="376">
        <f>GETPIVOTDATA("Sum of 3CountWAJobOrders_SumOfJOB OPENINGS",'State PivotTables'!$A$17)</f>
        <v>14655</v>
      </c>
      <c r="D28" s="409">
        <f>GETPIVOTDATA("Sum of 3CountOfWAJobOrders1YearAgo_SumOfJOB OPENINGS",'State PivotTables'!$A$17)</f>
        <v>15984</v>
      </c>
      <c r="E28" s="344"/>
      <c r="F28" s="510" t="s">
        <v>290</v>
      </c>
      <c r="G28" s="414">
        <f>VLOOKUP($B$1,MiscData!$A$95:$I$107,4,)</f>
        <v>3171083.3333333335</v>
      </c>
      <c r="H28" s="414">
        <f>VLOOKUP($B$1,MiscData!$A$95:$I$107,5,)</f>
        <v>3127093.3333333335</v>
      </c>
      <c r="I28" s="414">
        <f>VLOOKUP($B$1,MiscData!$A$95:$I$107,6,)</f>
        <v>3158163.3333333335</v>
      </c>
      <c r="J28" s="414">
        <f>VLOOKUP($B$1,MiscData!$A$95:$I$107,7,)</f>
        <v>3181750</v>
      </c>
      <c r="K28" s="157"/>
      <c r="O28" s="12"/>
    </row>
    <row r="29" spans="1:16" x14ac:dyDescent="0.3">
      <c r="A29" s="151"/>
      <c r="B29" s="522" t="s">
        <v>16</v>
      </c>
      <c r="C29" s="384">
        <f>GETPIVOTDATA("Sum of 3CountOfEmployersServed_EMPLOYER_ID",'State PivotTables'!$A$17)</f>
        <v>6396</v>
      </c>
      <c r="D29" s="410">
        <f>GETPIVOTDATA("Sum of 3CountOfEmployersServed1YearAgo_EMPLOYER_ID",'State PivotTables'!$A$17)</f>
        <v>7751</v>
      </c>
      <c r="E29" s="344"/>
      <c r="F29" s="512" t="s">
        <v>163</v>
      </c>
      <c r="G29" s="415">
        <f>VLOOKUP($B$1,MiscData!$A$110:$I$122,4,)</f>
        <v>333350</v>
      </c>
      <c r="H29" s="415">
        <f>VLOOKUP($B$1,MiscData!$A$110:$I$122,5,)</f>
        <v>353823.33333333331</v>
      </c>
      <c r="I29" s="415">
        <f>VLOOKUP($B$1,MiscData!$A$110:$I$122,6,)</f>
        <v>319730</v>
      </c>
      <c r="J29" s="415">
        <f>VLOOKUP($B$1,MiscData!$A$110:$I$122,7,)</f>
        <v>308953.33333333331</v>
      </c>
      <c r="K29" s="157"/>
      <c r="O29" s="12"/>
      <c r="P29" s="12"/>
    </row>
    <row r="30" spans="1:16" x14ac:dyDescent="0.3">
      <c r="A30" s="151"/>
      <c r="B30" s="521" t="s">
        <v>558</v>
      </c>
      <c r="C30" s="376">
        <f>GETPIVOTDATA("Sum of alljos",'State PivotTables'!$A$17)</f>
        <v>31809</v>
      </c>
      <c r="D30" s="409">
        <f>GETPIVOTDATA("Sum of previousjos",'State PivotTables'!$A$17)</f>
        <v>27540</v>
      </c>
      <c r="E30" s="344"/>
      <c r="F30" s="510" t="s">
        <v>279</v>
      </c>
      <c r="G30" s="414">
        <f>VLOOKUP($B$1,MiscData!$A$80:$I$92,4,)</f>
        <v>3504433.3333333335</v>
      </c>
      <c r="H30" s="414">
        <f>VLOOKUP($B$1,MiscData!$A$80:$I$92,5,)</f>
        <v>3480916.6666666665</v>
      </c>
      <c r="I30" s="414">
        <f>VLOOKUP($B$1,MiscData!$A$80:$I$92,6,)</f>
        <v>3477893.3333333335</v>
      </c>
      <c r="J30" s="414">
        <f>VLOOKUP($B$1,MiscData!$A$80:$I$92,7,)</f>
        <v>3490703.3333333335</v>
      </c>
      <c r="K30" s="157"/>
      <c r="N30" s="1"/>
      <c r="O30" s="12"/>
      <c r="P30" s="12"/>
    </row>
    <row r="31" spans="1:16" x14ac:dyDescent="0.3">
      <c r="A31" s="151"/>
      <c r="B31" s="373" t="s">
        <v>79</v>
      </c>
      <c r="C31" s="345" t="s">
        <v>84</v>
      </c>
      <c r="D31" s="345" t="s">
        <v>85</v>
      </c>
      <c r="E31" s="344"/>
      <c r="F31" s="512" t="s">
        <v>31</v>
      </c>
      <c r="G31" s="390">
        <f>G29/G30</f>
        <v>9.5122368809032368E-2</v>
      </c>
      <c r="H31" s="390">
        <f>H29/H30</f>
        <v>0.10164659692130903</v>
      </c>
      <c r="I31" s="390">
        <f>I29/I30</f>
        <v>9.193208915742096E-2</v>
      </c>
      <c r="J31" s="390">
        <f>J29/J30</f>
        <v>8.8507473660990946E-2</v>
      </c>
      <c r="K31" s="157"/>
      <c r="O31" s="12"/>
      <c r="P31" s="12"/>
    </row>
    <row r="32" spans="1:16" x14ac:dyDescent="0.3">
      <c r="A32" s="151"/>
      <c r="B32" s="80" t="s">
        <v>562</v>
      </c>
      <c r="C32" s="416">
        <f>C36/C30</f>
        <v>0.15923166399446698</v>
      </c>
      <c r="D32" s="392">
        <f>D36/D30</f>
        <v>0.14734931009440813</v>
      </c>
      <c r="E32" s="344"/>
      <c r="F32" s="598" t="s">
        <v>249</v>
      </c>
      <c r="G32" s="598"/>
      <c r="H32" s="598"/>
      <c r="I32" s="598"/>
      <c r="J32" s="598"/>
      <c r="K32" s="157"/>
    </row>
    <row r="33" spans="1:11" ht="19.5" thickBot="1" x14ac:dyDescent="0.35">
      <c r="A33" s="151"/>
      <c r="B33" s="522" t="s">
        <v>617</v>
      </c>
      <c r="C33" s="417">
        <f>C37/C28</f>
        <v>0.33735926305015351</v>
      </c>
      <c r="D33" s="418">
        <f>D37/D28</f>
        <v>0.43036786786786785</v>
      </c>
      <c r="E33" s="344"/>
      <c r="F33" s="525" t="s">
        <v>560</v>
      </c>
      <c r="G33" s="526">
        <f>MiscData!I160</f>
        <v>25132.248268429394</v>
      </c>
      <c r="H33" s="562" t="s">
        <v>576</v>
      </c>
      <c r="I33" s="562"/>
      <c r="J33" s="562"/>
      <c r="K33" s="157"/>
    </row>
    <row r="34" spans="1:11" x14ac:dyDescent="0.3">
      <c r="A34" s="151"/>
      <c r="B34" s="521" t="s">
        <v>575</v>
      </c>
      <c r="C34" s="420">
        <f>GETPIVOTDATA("Sum of CurrentJOs",'State PivotTables'!$A$22)</f>
        <v>10.766464351716676</v>
      </c>
      <c r="D34" s="421">
        <f>GETPIVOTDATA("Sum of LastYears",'State PivotTables'!$A$22)</f>
        <v>11.000742380828223</v>
      </c>
      <c r="E34" s="344"/>
      <c r="F34" s="512" t="s">
        <v>324</v>
      </c>
      <c r="G34" s="390">
        <f>MiscData!G73</f>
        <v>0.13900000000000001</v>
      </c>
      <c r="H34" s="492">
        <v>1</v>
      </c>
      <c r="I34" s="563" t="str">
        <f>VLOOKUP($A$1,MiscData!$A$190:$O$202,7,)</f>
        <v xml:space="preserve">Ambulatory Health Care Services </v>
      </c>
      <c r="J34" s="564"/>
      <c r="K34" s="157"/>
    </row>
    <row r="35" spans="1:11" x14ac:dyDescent="0.3">
      <c r="A35" s="151"/>
      <c r="B35" s="522" t="s">
        <v>622</v>
      </c>
      <c r="C35" s="423">
        <f>GETPIVOTDATA("Sum of CurrentSalary",'State PivotTables'!$A$22)</f>
        <v>10.35</v>
      </c>
      <c r="D35" s="424">
        <f>GETPIVOTDATA("Sum of Lastyearsalary",'State PivotTables'!$A$22)</f>
        <v>10.37</v>
      </c>
      <c r="E35" s="344"/>
      <c r="F35" s="527" t="s">
        <v>280</v>
      </c>
      <c r="G35" s="528" t="s">
        <v>655</v>
      </c>
      <c r="H35" s="493">
        <v>2</v>
      </c>
      <c r="I35" s="556" t="str">
        <f>VLOOKUP($A$1,MiscData!$A$190:$O$202,8,)</f>
        <v xml:space="preserve">Professional, Scientific, and Technical Services </v>
      </c>
      <c r="J35" s="557"/>
      <c r="K35" s="157"/>
    </row>
    <row r="36" spans="1:11" x14ac:dyDescent="0.3">
      <c r="A36" s="151"/>
      <c r="B36" s="80" t="s">
        <v>621</v>
      </c>
      <c r="C36" s="376">
        <f>GETPIVOTDATA("Sum of JOB_ORDER_ID",'State PivotTables'!$A$22)</f>
        <v>5065</v>
      </c>
      <c r="D36" s="409">
        <f>GETPIVOTDATA("Sum of JOB_ORDER_IDLastYear",'State PivotTables'!$A$22)</f>
        <v>4058</v>
      </c>
      <c r="E36" s="344"/>
      <c r="F36" s="529" t="s">
        <v>281</v>
      </c>
      <c r="G36" s="390" t="s">
        <v>659</v>
      </c>
      <c r="H36" s="494">
        <v>3</v>
      </c>
      <c r="I36" s="558" t="str">
        <f>VLOOKUP($A$1,MiscData!$A$190:$O$202,9,)</f>
        <v xml:space="preserve">Transportation Equipment Manufacturing </v>
      </c>
      <c r="J36" s="559"/>
      <c r="K36" s="157"/>
    </row>
    <row r="37" spans="1:11" x14ac:dyDescent="0.3">
      <c r="A37" s="151"/>
      <c r="B37" s="522" t="s">
        <v>620</v>
      </c>
      <c r="C37" s="384">
        <f>GETPIVOTDATA("Sum of current",'State PivotTables'!A22)</f>
        <v>4944</v>
      </c>
      <c r="D37" s="410">
        <f>GETPIVOTDATA("Sum of Lastyear",'State PivotTables'!A22)</f>
        <v>6879</v>
      </c>
      <c r="E37" s="344"/>
      <c r="F37" s="527" t="s">
        <v>277</v>
      </c>
      <c r="G37" s="382">
        <f>MiscData!M14</f>
        <v>0.82268474045611417</v>
      </c>
      <c r="H37" s="495">
        <v>4</v>
      </c>
      <c r="I37" s="556" t="str">
        <f>VLOOKUP($A$1,MiscData!$A$190:$O$202,10,)</f>
        <v xml:space="preserve">Support Activities for Agriculture and Forestry </v>
      </c>
      <c r="J37" s="557"/>
      <c r="K37" s="157"/>
    </row>
    <row r="38" spans="1:11" ht="19.5" thickBot="1" x14ac:dyDescent="0.35">
      <c r="A38" s="151"/>
      <c r="B38" s="303" t="s">
        <v>80</v>
      </c>
      <c r="C38" s="345"/>
      <c r="D38" s="345"/>
      <c r="E38" s="344"/>
      <c r="F38" s="529" t="s">
        <v>88</v>
      </c>
      <c r="G38" s="530">
        <f>MiscData!N14</f>
        <v>0.23656028747287153</v>
      </c>
      <c r="H38" s="494">
        <v>5</v>
      </c>
      <c r="I38" s="558" t="str">
        <f>VLOOKUP($A$1,MiscData!$A$190:$O$202,11,)</f>
        <v xml:space="preserve">Construction of Buildings </v>
      </c>
      <c r="J38" s="559"/>
      <c r="K38" s="157"/>
    </row>
    <row r="39" spans="1:11" x14ac:dyDescent="0.3">
      <c r="A39" s="151"/>
      <c r="B39" s="514" t="s">
        <v>32</v>
      </c>
      <c r="C39" s="398">
        <f>GETPIVOTDATA("Sum of CountNew",'State PivotTables'!$A$27)</f>
        <v>70524</v>
      </c>
      <c r="D39" s="347"/>
      <c r="E39" s="344"/>
      <c r="F39" s="500"/>
      <c r="G39" s="539"/>
      <c r="H39" s="540"/>
      <c r="I39" s="540"/>
      <c r="J39" s="541"/>
      <c r="K39" s="157"/>
    </row>
    <row r="40" spans="1:11" x14ac:dyDescent="0.3">
      <c r="A40" s="151"/>
      <c r="B40" s="508" t="s">
        <v>34</v>
      </c>
      <c r="C40" s="429">
        <f>C43/C5</f>
        <v>2.0329569275797965</v>
      </c>
      <c r="D40" s="347"/>
      <c r="E40" s="344"/>
      <c r="F40" s="501"/>
      <c r="G40" s="536"/>
      <c r="H40" s="351"/>
      <c r="I40" s="351"/>
      <c r="J40" s="497"/>
      <c r="K40" s="157"/>
    </row>
    <row r="41" spans="1:11" x14ac:dyDescent="0.3">
      <c r="A41" s="151"/>
      <c r="B41" s="523" t="s">
        <v>35</v>
      </c>
      <c r="C41" s="433">
        <f>C45/C44</f>
        <v>0.868042599890258</v>
      </c>
      <c r="D41" s="347"/>
      <c r="E41" s="344"/>
      <c r="F41" s="501"/>
      <c r="G41" s="537"/>
      <c r="H41" s="351"/>
      <c r="I41" s="351"/>
      <c r="J41" s="497"/>
      <c r="K41" s="157"/>
    </row>
    <row r="42" spans="1:11" x14ac:dyDescent="0.3">
      <c r="A42" s="151"/>
      <c r="B42" s="524" t="s">
        <v>27</v>
      </c>
      <c r="C42" s="435">
        <f>GETPIVOTDATA("Sum of AvgOfDuration",'State PivotTables'!A27)</f>
        <v>14.029634507737899</v>
      </c>
      <c r="D42" s="350"/>
      <c r="E42" s="344"/>
      <c r="F42" s="502"/>
      <c r="G42" s="536"/>
      <c r="H42" s="351"/>
      <c r="I42" s="351"/>
      <c r="J42" s="497"/>
      <c r="K42" s="157"/>
    </row>
    <row r="43" spans="1:11" x14ac:dyDescent="0.3">
      <c r="A43" s="151"/>
      <c r="B43" s="523" t="s">
        <v>33</v>
      </c>
      <c r="C43" s="437">
        <f>GETPIVOTDATA("Sum of SERVICEDATE",'State PivotTables'!$A$27)</f>
        <v>205597</v>
      </c>
      <c r="D43" s="347"/>
      <c r="E43" s="344"/>
      <c r="F43" s="501"/>
      <c r="G43" s="538"/>
      <c r="H43" s="351"/>
      <c r="I43" s="351"/>
      <c r="J43" s="497"/>
      <c r="K43" s="157"/>
    </row>
    <row r="44" spans="1:11" x14ac:dyDescent="0.3">
      <c r="A44" s="151"/>
      <c r="B44" s="508" t="s">
        <v>47</v>
      </c>
      <c r="C44" s="438">
        <f>GETPIVOTDATA("Sum of OldWages",'State PivotTables'!$A$27)</f>
        <v>20047</v>
      </c>
      <c r="D44" s="347"/>
      <c r="E44" s="344"/>
      <c r="F44" s="502"/>
      <c r="G44" s="536"/>
      <c r="H44" s="351"/>
      <c r="I44" s="351"/>
      <c r="J44" s="497"/>
      <c r="K44" s="157"/>
    </row>
    <row r="45" spans="1:11" ht="19.5" thickBot="1" x14ac:dyDescent="0.35">
      <c r="A45" s="151"/>
      <c r="B45" s="523" t="s">
        <v>48</v>
      </c>
      <c r="C45" s="439">
        <f>GETPIVOTDATA("Sum of NewWages",'State PivotTables'!$A$27)</f>
        <v>17401.650000000001</v>
      </c>
      <c r="D45" s="347"/>
      <c r="E45" s="344"/>
      <c r="F45" s="503"/>
      <c r="G45" s="542"/>
      <c r="H45" s="498"/>
      <c r="I45" s="498"/>
      <c r="J45" s="499"/>
      <c r="K45" s="157"/>
    </row>
    <row r="46" spans="1:11" x14ac:dyDescent="0.3">
      <c r="A46" s="296"/>
      <c r="B46" s="296"/>
      <c r="C46" s="296"/>
      <c r="D46" s="296"/>
      <c r="E46" s="296"/>
      <c r="F46" s="296"/>
      <c r="G46" s="296"/>
      <c r="H46" s="296"/>
      <c r="I46" s="296"/>
      <c r="J46" s="296"/>
      <c r="K46" s="296"/>
    </row>
    <row r="47" spans="1:11" x14ac:dyDescent="0.3">
      <c r="A47" s="297"/>
      <c r="B47" s="276"/>
      <c r="C47" s="80"/>
      <c r="D47" s="78"/>
      <c r="E47" s="78"/>
      <c r="F47" s="78"/>
      <c r="G47" s="37"/>
      <c r="H47" s="37"/>
      <c r="I47" s="2"/>
      <c r="J47"/>
      <c r="K47" s="2"/>
    </row>
    <row r="48" spans="1:11" x14ac:dyDescent="0.3">
      <c r="A48" s="275"/>
      <c r="B48" s="276"/>
      <c r="C48" s="80"/>
      <c r="D48" s="78"/>
      <c r="E48" s="78"/>
      <c r="F48" s="78"/>
      <c r="G48" s="37"/>
      <c r="H48" s="37"/>
      <c r="I48" s="37"/>
      <c r="J48"/>
      <c r="K48" s="2"/>
    </row>
    <row r="49" spans="1:11" x14ac:dyDescent="0.3">
      <c r="A49" s="79"/>
      <c r="B49" s="95"/>
      <c r="C49" s="80"/>
      <c r="D49" s="78"/>
      <c r="E49" s="78"/>
      <c r="F49" s="78"/>
      <c r="G49" s="37"/>
      <c r="H49" s="37"/>
      <c r="I49" s="2"/>
      <c r="J49"/>
      <c r="K49" s="2"/>
    </row>
    <row r="50" spans="1:11" x14ac:dyDescent="0.3">
      <c r="A50" s="2"/>
      <c r="B50" s="80"/>
      <c r="C50" s="79"/>
      <c r="D50" s="95"/>
      <c r="E50" s="80"/>
      <c r="F50" s="78"/>
      <c r="G50" s="78"/>
      <c r="H50" s="78"/>
      <c r="I50" s="37"/>
      <c r="J50" s="37"/>
      <c r="K50" s="2"/>
    </row>
    <row r="51" spans="1:11" x14ac:dyDescent="0.3">
      <c r="A51" s="2"/>
      <c r="B51" s="80"/>
      <c r="C51" s="79"/>
      <c r="D51" s="95"/>
      <c r="E51" s="80"/>
      <c r="F51" s="78"/>
      <c r="G51" s="78"/>
      <c r="H51" s="78"/>
      <c r="I51" s="37"/>
      <c r="J51" s="37"/>
      <c r="K51" s="2"/>
    </row>
    <row r="52" spans="1:11" x14ac:dyDescent="0.3">
      <c r="A52" s="2"/>
      <c r="B52" s="80"/>
      <c r="C52" s="79"/>
      <c r="D52" s="95"/>
      <c r="E52" s="80"/>
      <c r="F52" s="78"/>
      <c r="G52" s="78"/>
      <c r="H52" s="78"/>
      <c r="I52" s="37"/>
      <c r="J52" s="37"/>
      <c r="K52" s="2"/>
    </row>
    <row r="53" spans="1:11" x14ac:dyDescent="0.3">
      <c r="A53" s="2"/>
      <c r="B53" s="80"/>
      <c r="C53" s="79"/>
      <c r="D53" s="95"/>
      <c r="E53" s="4"/>
      <c r="F53" s="78"/>
      <c r="G53" s="78"/>
      <c r="H53" s="78"/>
      <c r="I53" s="37"/>
      <c r="J53" s="37"/>
      <c r="K53" s="2"/>
    </row>
    <row r="54" spans="1:11" x14ac:dyDescent="0.3">
      <c r="A54" s="2"/>
      <c r="B54" s="80"/>
      <c r="C54" s="81"/>
      <c r="D54" s="81"/>
      <c r="E54" s="4"/>
      <c r="F54" s="78"/>
      <c r="G54" s="78"/>
      <c r="H54" s="78"/>
      <c r="I54" s="37"/>
      <c r="J54" s="37"/>
      <c r="K54" s="2"/>
    </row>
    <row r="55" spans="1:11" x14ac:dyDescent="0.3">
      <c r="A55" s="2"/>
      <c r="B55" s="80"/>
      <c r="C55" s="81"/>
      <c r="D55" s="81"/>
      <c r="E55" s="4"/>
      <c r="F55" s="78"/>
      <c r="G55" s="78"/>
      <c r="H55" s="78"/>
      <c r="I55" s="37"/>
      <c r="J55" s="37"/>
      <c r="K55" s="2"/>
    </row>
    <row r="56" spans="1:11" x14ac:dyDescent="0.3">
      <c r="A56" s="2"/>
      <c r="B56" s="80"/>
      <c r="C56" s="81"/>
      <c r="D56" s="81"/>
      <c r="E56" s="4"/>
      <c r="F56" s="78"/>
      <c r="G56" s="78"/>
      <c r="H56" s="78"/>
      <c r="I56" s="37"/>
      <c r="J56" s="37"/>
      <c r="K56" s="2"/>
    </row>
    <row r="57" spans="1:11" x14ac:dyDescent="0.3">
      <c r="A57" s="2"/>
      <c r="B57" s="80"/>
      <c r="C57" s="81"/>
      <c r="D57" s="81"/>
      <c r="E57" s="4"/>
      <c r="F57" s="78"/>
      <c r="G57" s="78"/>
      <c r="H57" s="78"/>
      <c r="I57" s="37"/>
      <c r="J57" s="37"/>
      <c r="K57" s="2"/>
    </row>
    <row r="58" spans="1:11" x14ac:dyDescent="0.3">
      <c r="A58" s="2"/>
      <c r="B58" s="80"/>
      <c r="C58" s="81"/>
      <c r="D58" s="81"/>
      <c r="E58" s="4"/>
      <c r="F58" s="78"/>
      <c r="G58" s="78"/>
      <c r="H58" s="78"/>
      <c r="I58" s="37"/>
      <c r="J58" s="37"/>
      <c r="K58" s="2"/>
    </row>
    <row r="59" spans="1:11" x14ac:dyDescent="0.3">
      <c r="A59" s="2"/>
      <c r="B59" s="80"/>
      <c r="C59" s="81"/>
      <c r="D59" s="81"/>
      <c r="E59" s="4"/>
      <c r="F59" s="78"/>
      <c r="G59" s="78"/>
      <c r="H59" s="78"/>
      <c r="I59" s="37"/>
      <c r="J59" s="37"/>
      <c r="K59" s="2"/>
    </row>
    <row r="60" spans="1:11" x14ac:dyDescent="0.3">
      <c r="A60" s="2"/>
      <c r="B60" s="80"/>
      <c r="C60" s="81"/>
      <c r="D60" s="81"/>
      <c r="E60" s="4"/>
      <c r="F60" s="78"/>
      <c r="G60" s="78"/>
      <c r="H60" s="78"/>
      <c r="I60" s="37"/>
      <c r="J60" s="37"/>
      <c r="K60" s="2"/>
    </row>
    <row r="61" spans="1:11" x14ac:dyDescent="0.3">
      <c r="A61" s="2"/>
      <c r="B61" s="80"/>
      <c r="C61" s="81"/>
      <c r="D61" s="81"/>
      <c r="E61" s="4"/>
      <c r="F61" s="78"/>
      <c r="K61" s="2"/>
    </row>
    <row r="62" spans="1:11" x14ac:dyDescent="0.3">
      <c r="A62" s="2"/>
      <c r="B62" s="80"/>
      <c r="C62" s="81"/>
      <c r="D62" s="81"/>
      <c r="E62" s="4"/>
      <c r="K62" s="2"/>
    </row>
    <row r="63" spans="1:11" x14ac:dyDescent="0.3">
      <c r="A63" s="2"/>
      <c r="B63" s="4"/>
      <c r="C63" s="96"/>
      <c r="D63" s="96"/>
      <c r="E63" s="4"/>
      <c r="K63" s="2"/>
    </row>
    <row r="64" spans="1:11" x14ac:dyDescent="0.3">
      <c r="A64" s="2"/>
      <c r="B64" s="4"/>
      <c r="C64" s="96"/>
      <c r="D64" s="96"/>
      <c r="E64" s="4"/>
      <c r="K64" s="2"/>
    </row>
    <row r="65" spans="1:11" x14ac:dyDescent="0.3">
      <c r="A65" s="2"/>
      <c r="B65" s="4"/>
      <c r="C65" s="96"/>
      <c r="D65" s="96"/>
      <c r="E65" s="4"/>
      <c r="K65" s="2"/>
    </row>
    <row r="66" spans="1:11" x14ac:dyDescent="0.3">
      <c r="A66" s="2"/>
      <c r="B66" s="4"/>
      <c r="C66" s="96"/>
      <c r="D66" s="96"/>
      <c r="E66" s="4"/>
      <c r="K66" s="2"/>
    </row>
    <row r="67" spans="1:11" x14ac:dyDescent="0.3">
      <c r="A67" s="2"/>
      <c r="B67" s="4"/>
      <c r="C67" s="96"/>
      <c r="D67" s="96"/>
      <c r="E67" s="4"/>
      <c r="K67" s="2"/>
    </row>
    <row r="68" spans="1:11" x14ac:dyDescent="0.3">
      <c r="A68" s="2"/>
      <c r="B68" s="4"/>
      <c r="C68" s="96"/>
      <c r="D68" s="96"/>
      <c r="E68" s="4"/>
      <c r="K68" s="2"/>
    </row>
    <row r="69" spans="1:11" x14ac:dyDescent="0.3">
      <c r="A69" s="2"/>
      <c r="B69" s="4"/>
      <c r="C69" s="96"/>
      <c r="D69" s="96"/>
      <c r="E69" s="4"/>
    </row>
    <row r="70" spans="1:11" x14ac:dyDescent="0.3">
      <c r="A70" s="2"/>
      <c r="B70" s="4"/>
      <c r="C70" s="96"/>
      <c r="D70" s="96"/>
      <c r="E70" s="4"/>
    </row>
    <row r="71" spans="1:11" x14ac:dyDescent="0.3">
      <c r="A71" s="2"/>
      <c r="B71" s="4"/>
      <c r="C71" s="96"/>
      <c r="D71" s="96"/>
      <c r="E71" s="4"/>
    </row>
    <row r="72" spans="1:11" x14ac:dyDescent="0.3">
      <c r="A72" s="2"/>
      <c r="B72" s="4"/>
      <c r="C72" s="96"/>
      <c r="D72" s="96"/>
      <c r="E72" s="4"/>
    </row>
    <row r="73" spans="1:11" x14ac:dyDescent="0.3">
      <c r="A73" s="2"/>
      <c r="B73" s="4"/>
      <c r="C73" s="96"/>
      <c r="D73" s="96"/>
    </row>
    <row r="74" spans="1:11" x14ac:dyDescent="0.3">
      <c r="B74" s="4"/>
      <c r="C74" s="96"/>
      <c r="D74" s="96"/>
    </row>
    <row r="75" spans="1:11" x14ac:dyDescent="0.3">
      <c r="B75" s="4"/>
      <c r="C75" s="96"/>
      <c r="D75" s="96"/>
    </row>
    <row r="76" spans="1:11" x14ac:dyDescent="0.3">
      <c r="B76" s="4"/>
      <c r="C76" s="96"/>
      <c r="D76" s="96"/>
    </row>
    <row r="77" spans="1:11" x14ac:dyDescent="0.3">
      <c r="B77" s="4"/>
      <c r="C77" s="96"/>
      <c r="D77" s="96"/>
    </row>
    <row r="78" spans="1:11" x14ac:dyDescent="0.3">
      <c r="B78" s="4"/>
      <c r="C78" s="96"/>
      <c r="D78" s="96"/>
    </row>
  </sheetData>
  <sheetProtection sheet="1" objects="1" scenarios="1"/>
  <mergeCells count="9">
    <mergeCell ref="I36:J36"/>
    <mergeCell ref="I37:J37"/>
    <mergeCell ref="I38:J38"/>
    <mergeCell ref="F32:J32"/>
    <mergeCell ref="B2:D2"/>
    <mergeCell ref="F2:K2"/>
    <mergeCell ref="H33:J33"/>
    <mergeCell ref="I34:J34"/>
    <mergeCell ref="I35:J35"/>
  </mergeCells>
  <dataValidations count="1">
    <dataValidation type="list" allowBlank="1" showInputMessage="1" showErrorMessage="1" sqref="F1">
      <formula1>qUARTERS</formula1>
    </dataValidation>
  </dataValidations>
  <pageMargins left="0.9" right="0.25" top="0.43" bottom="0.26" header="0.32" footer="0.16"/>
  <pageSetup scale="5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N31"/>
  <sheetViews>
    <sheetView zoomScale="90" zoomScaleNormal="90" workbookViewId="0">
      <selection activeCell="N6" sqref="N6"/>
    </sheetView>
  </sheetViews>
  <sheetFormatPr defaultRowHeight="18.75" x14ac:dyDescent="0.3"/>
  <cols>
    <col min="1" max="1" width="19" customWidth="1"/>
    <col min="2" max="2" width="3.59765625" style="44" customWidth="1"/>
    <col min="3" max="4" width="8.59765625" customWidth="1"/>
    <col min="5" max="5" width="17.5" customWidth="1"/>
    <col min="6" max="6" width="5.69921875" style="44" customWidth="1"/>
    <col min="7" max="7" width="6.296875" customWidth="1"/>
    <col min="8" max="8" width="10.3984375" customWidth="1"/>
    <col min="9" max="9" width="7.296875" customWidth="1"/>
    <col min="10" max="10" width="5.296875" style="44" customWidth="1"/>
    <col min="11" max="11" width="19.59765625" customWidth="1"/>
    <col min="12" max="12" width="6" style="44" customWidth="1"/>
  </cols>
  <sheetData>
    <row r="1" spans="1:14" ht="36" customHeight="1" x14ac:dyDescent="0.4">
      <c r="A1" s="53"/>
      <c r="B1" s="53"/>
      <c r="C1" s="579" t="s">
        <v>135</v>
      </c>
      <c r="D1" s="579"/>
      <c r="E1" s="580" t="s">
        <v>663</v>
      </c>
      <c r="F1" s="580"/>
      <c r="G1" s="580"/>
      <c r="H1" s="580"/>
      <c r="I1" s="580"/>
      <c r="J1" s="47"/>
      <c r="K1" s="53" t="str">
        <f>'Area Data'!G1</f>
        <v>APR-JUN 2012</v>
      </c>
      <c r="L1" s="47"/>
      <c r="M1" s="10"/>
    </row>
    <row r="2" spans="1:14" ht="32.25" customHeight="1" x14ac:dyDescent="0.3">
      <c r="A2" s="23"/>
      <c r="B2" s="40"/>
      <c r="C2" s="23"/>
      <c r="D2" s="23"/>
      <c r="E2" s="23"/>
      <c r="F2" s="40"/>
      <c r="G2" s="23"/>
      <c r="H2" s="23"/>
      <c r="I2" s="23"/>
      <c r="J2" s="40"/>
      <c r="K2" s="23"/>
      <c r="L2" s="43"/>
      <c r="M2" s="10"/>
    </row>
    <row r="3" spans="1:14" ht="18.75" customHeight="1" x14ac:dyDescent="0.3">
      <c r="A3" s="23"/>
      <c r="B3" s="40"/>
      <c r="C3" s="23"/>
      <c r="D3" s="23"/>
      <c r="E3" s="23"/>
      <c r="F3" s="40"/>
      <c r="G3" s="23"/>
      <c r="H3" s="23"/>
      <c r="I3" s="23"/>
      <c r="J3" s="40"/>
      <c r="K3" s="23"/>
      <c r="L3" s="43"/>
      <c r="M3" s="10"/>
    </row>
    <row r="4" spans="1:14" ht="18.75" customHeight="1" x14ac:dyDescent="0.3">
      <c r="A4" s="23"/>
      <c r="B4" s="40"/>
      <c r="C4" s="23"/>
      <c r="D4" s="23"/>
      <c r="E4" s="23"/>
      <c r="F4" s="40"/>
      <c r="G4" s="23"/>
      <c r="H4" s="23"/>
      <c r="I4" s="23"/>
      <c r="J4" s="40"/>
      <c r="K4" s="23"/>
      <c r="L4" s="43"/>
      <c r="M4" s="10"/>
    </row>
    <row r="5" spans="1:14" ht="18.75" customHeight="1" x14ac:dyDescent="0.3">
      <c r="A5" s="23"/>
      <c r="B5" s="40"/>
      <c r="C5" s="23"/>
      <c r="D5" s="23"/>
      <c r="E5" s="23"/>
      <c r="F5" s="40"/>
      <c r="G5" s="23"/>
      <c r="H5" s="23"/>
      <c r="I5" s="23"/>
      <c r="J5" s="40"/>
      <c r="K5" s="23"/>
      <c r="L5" s="43"/>
      <c r="M5" s="10"/>
    </row>
    <row r="6" spans="1:14" ht="18.75" customHeight="1" x14ac:dyDescent="0.3">
      <c r="A6" s="23"/>
      <c r="B6" s="40"/>
      <c r="C6" s="23"/>
      <c r="D6" s="23"/>
      <c r="E6" s="23"/>
      <c r="F6" s="40"/>
      <c r="G6" s="23"/>
      <c r="H6" s="23"/>
      <c r="I6" s="23"/>
      <c r="J6" s="40"/>
      <c r="K6" s="23"/>
      <c r="L6" s="43"/>
      <c r="M6" s="10"/>
    </row>
    <row r="7" spans="1:14" ht="45" customHeight="1" x14ac:dyDescent="0.3">
      <c r="A7" s="23"/>
      <c r="B7" s="40"/>
      <c r="C7" s="23"/>
      <c r="D7" s="23"/>
      <c r="E7" s="23"/>
      <c r="F7" s="40"/>
      <c r="G7" s="23"/>
      <c r="H7" s="24"/>
      <c r="I7" s="16"/>
      <c r="J7" s="50"/>
      <c r="K7" s="10"/>
      <c r="L7" s="43"/>
      <c r="M7" s="10"/>
    </row>
    <row r="8" spans="1:14" ht="19.5" customHeight="1" x14ac:dyDescent="0.3">
      <c r="A8" s="9"/>
      <c r="B8" s="31"/>
      <c r="C8" s="9"/>
      <c r="D8" s="9"/>
      <c r="E8" s="9"/>
      <c r="F8" s="31"/>
      <c r="G8" s="9"/>
      <c r="H8" s="9"/>
      <c r="I8" s="9"/>
      <c r="J8" s="31"/>
      <c r="K8" s="9"/>
      <c r="L8" s="43"/>
      <c r="M8" s="10"/>
    </row>
    <row r="9" spans="1:14" x14ac:dyDescent="0.3">
      <c r="A9" s="9"/>
      <c r="B9" s="31"/>
      <c r="C9" s="9"/>
      <c r="D9" s="9"/>
      <c r="E9" s="9"/>
      <c r="F9" s="31"/>
      <c r="G9" s="9"/>
      <c r="H9" s="9"/>
      <c r="I9" s="9"/>
      <c r="J9" s="31"/>
      <c r="K9" s="9"/>
      <c r="L9" s="43"/>
      <c r="M9" s="10"/>
    </row>
    <row r="10" spans="1:14" x14ac:dyDescent="0.3">
      <c r="A10" s="9"/>
      <c r="B10" s="31"/>
      <c r="C10" s="9"/>
      <c r="D10" s="9"/>
      <c r="E10" s="9"/>
      <c r="F10" s="31"/>
      <c r="G10" s="9"/>
      <c r="H10" s="9"/>
      <c r="I10" s="9"/>
      <c r="J10" s="31"/>
      <c r="K10" s="9"/>
      <c r="L10" s="43"/>
      <c r="M10" s="10"/>
    </row>
    <row r="11" spans="1:14" x14ac:dyDescent="0.3">
      <c r="A11" s="9"/>
      <c r="B11" s="31"/>
      <c r="C11" s="9"/>
      <c r="D11" s="9"/>
      <c r="E11" s="9"/>
      <c r="F11" s="31"/>
      <c r="G11" s="9"/>
      <c r="H11" s="9"/>
      <c r="I11" s="9"/>
      <c r="J11" s="31"/>
      <c r="K11" s="9"/>
      <c r="L11" s="43"/>
      <c r="M11" s="10"/>
    </row>
    <row r="12" spans="1:14" ht="42" customHeight="1" x14ac:dyDescent="0.35">
      <c r="A12" s="25"/>
      <c r="B12" s="41"/>
      <c r="C12" s="34"/>
      <c r="D12" s="100"/>
      <c r="E12" s="581"/>
      <c r="F12" s="45"/>
      <c r="G12" s="26"/>
      <c r="H12" s="27"/>
      <c r="I12" s="26"/>
      <c r="J12" s="51"/>
      <c r="K12" s="28"/>
      <c r="L12" s="19"/>
      <c r="M12" s="10"/>
    </row>
    <row r="13" spans="1:14" ht="18.75" customHeight="1" x14ac:dyDescent="0.35">
      <c r="A13" s="10"/>
      <c r="B13" s="42"/>
      <c r="C13" s="29"/>
      <c r="D13" s="29"/>
      <c r="E13" s="581"/>
      <c r="F13" s="43"/>
      <c r="G13" s="10"/>
      <c r="H13" s="10"/>
      <c r="I13" s="27"/>
      <c r="J13" s="30"/>
      <c r="K13" s="10"/>
      <c r="L13" s="48"/>
      <c r="M13" s="23"/>
      <c r="N13" s="18"/>
    </row>
    <row r="14" spans="1:14" ht="25.5" customHeight="1" x14ac:dyDescent="0.35">
      <c r="A14" s="10"/>
      <c r="B14" s="42"/>
      <c r="C14" s="29"/>
      <c r="D14" s="29"/>
      <c r="E14" s="581"/>
      <c r="F14" s="43"/>
      <c r="G14" s="10"/>
      <c r="H14" s="11"/>
      <c r="I14" s="27"/>
      <c r="J14" s="31"/>
      <c r="K14" s="10"/>
      <c r="L14" s="43"/>
      <c r="M14" s="23"/>
      <c r="N14" s="18"/>
    </row>
    <row r="15" spans="1:14" s="17" customFormat="1" ht="25.5" customHeight="1" x14ac:dyDescent="0.5">
      <c r="A15" s="10"/>
      <c r="B15" s="42"/>
      <c r="C15" s="29"/>
      <c r="D15" s="29"/>
      <c r="E15" s="581"/>
      <c r="F15" s="46"/>
      <c r="G15" s="11"/>
      <c r="H15" s="32"/>
      <c r="I15" s="27"/>
      <c r="J15" s="33"/>
      <c r="K15" s="21"/>
      <c r="L15" s="49"/>
      <c r="M15" s="23"/>
      <c r="N15" s="18"/>
    </row>
    <row r="16" spans="1:14" s="17" customFormat="1" ht="32.25" customHeight="1" x14ac:dyDescent="0.5">
      <c r="A16" s="10"/>
      <c r="B16" s="42"/>
      <c r="C16" s="29"/>
      <c r="D16" s="29"/>
      <c r="E16" s="581"/>
      <c r="F16" s="46"/>
      <c r="G16" s="11"/>
      <c r="H16" s="32"/>
      <c r="I16" s="27"/>
      <c r="J16" s="30"/>
      <c r="K16" s="22"/>
      <c r="L16" s="49"/>
      <c r="M16" s="23"/>
      <c r="N16" s="18"/>
    </row>
    <row r="17" spans="1:14" s="17" customFormat="1" ht="36" customHeight="1" x14ac:dyDescent="0.5">
      <c r="A17" s="10"/>
      <c r="B17" s="42"/>
      <c r="C17" s="29"/>
      <c r="D17" s="29"/>
      <c r="E17" s="581"/>
      <c r="F17" s="20"/>
      <c r="G17" s="20"/>
      <c r="H17" s="32"/>
      <c r="I17" s="27"/>
      <c r="J17" s="30"/>
      <c r="K17" s="22"/>
      <c r="L17" s="49"/>
      <c r="M17" s="23"/>
      <c r="N17" s="18"/>
    </row>
    <row r="18" spans="1:14" ht="28.5" customHeight="1" x14ac:dyDescent="0.35">
      <c r="A18" s="10"/>
      <c r="B18" s="42"/>
      <c r="C18" s="29"/>
      <c r="D18" s="29"/>
      <c r="E18" s="581"/>
      <c r="F18" s="43"/>
      <c r="G18" s="10"/>
      <c r="H18" s="10"/>
      <c r="I18" s="27"/>
      <c r="J18" s="33"/>
      <c r="K18" s="10"/>
      <c r="L18" s="43"/>
      <c r="M18" s="23"/>
      <c r="N18" s="18"/>
    </row>
    <row r="19" spans="1:14" ht="45" customHeight="1" x14ac:dyDescent="0.35">
      <c r="A19" s="10"/>
      <c r="B19" s="43"/>
      <c r="C19" s="10"/>
      <c r="D19" s="10"/>
      <c r="E19" s="581"/>
      <c r="F19" s="43"/>
      <c r="G19" s="10"/>
      <c r="H19" s="10"/>
      <c r="I19" s="27"/>
      <c r="J19" s="33"/>
      <c r="K19" s="10"/>
      <c r="L19" s="40"/>
      <c r="M19" s="23"/>
      <c r="N19" s="18"/>
    </row>
    <row r="20" spans="1:14" s="73" customFormat="1" ht="22.5" customHeight="1" x14ac:dyDescent="0.25">
      <c r="A20" s="582" t="s">
        <v>68</v>
      </c>
      <c r="B20" s="582"/>
      <c r="C20" s="74">
        <f>'State Data'!C39</f>
        <v>70524</v>
      </c>
      <c r="D20" s="583" t="s">
        <v>17</v>
      </c>
      <c r="E20" s="583"/>
      <c r="F20" s="76">
        <f>'State Data'!C40</f>
        <v>2.0329569275797965</v>
      </c>
      <c r="G20" s="584" t="s">
        <v>18</v>
      </c>
      <c r="H20" s="584"/>
      <c r="I20" s="104">
        <f>'State Data'!C41</f>
        <v>0.868042599890258</v>
      </c>
      <c r="J20" s="575" t="s">
        <v>113</v>
      </c>
      <c r="K20" s="575"/>
      <c r="L20" s="75">
        <f>'State Data'!C42</f>
        <v>14.029634507737899</v>
      </c>
      <c r="M20" s="71"/>
      <c r="N20" s="72"/>
    </row>
    <row r="21" spans="1:14" ht="32.25" customHeight="1" x14ac:dyDescent="0.35">
      <c r="A21" s="576" t="str">
        <f>'Area Data'!F1</f>
        <v>PY11 Q4</v>
      </c>
      <c r="B21" s="576"/>
      <c r="C21" s="576"/>
      <c r="D21" s="576"/>
      <c r="E21" s="576"/>
      <c r="F21" s="576"/>
      <c r="G21" s="576"/>
      <c r="H21" s="576"/>
      <c r="I21" s="576"/>
      <c r="J21" s="576"/>
      <c r="K21" s="576"/>
      <c r="L21" s="576"/>
      <c r="M21" s="10"/>
    </row>
    <row r="22" spans="1:14" ht="12.75" customHeight="1" x14ac:dyDescent="0.3">
      <c r="A22" s="10"/>
      <c r="B22" s="43"/>
      <c r="C22" s="10"/>
      <c r="D22" s="10"/>
      <c r="E22" s="10"/>
      <c r="F22" s="43"/>
      <c r="G22" s="10"/>
      <c r="H22" s="10"/>
      <c r="I22" s="10"/>
      <c r="J22" s="40"/>
      <c r="K22" s="23"/>
      <c r="L22" s="43"/>
      <c r="M22" s="10"/>
    </row>
    <row r="23" spans="1:14" ht="15.75" customHeight="1" x14ac:dyDescent="0.3">
      <c r="J23" s="52"/>
      <c r="K23" s="15"/>
    </row>
    <row r="24" spans="1:14" ht="18.75" customHeight="1" x14ac:dyDescent="0.3">
      <c r="J24" s="577"/>
      <c r="K24" s="578"/>
    </row>
    <row r="25" spans="1:14" ht="18.75" customHeight="1" x14ac:dyDescent="0.3">
      <c r="J25" s="577"/>
      <c r="K25" s="578"/>
    </row>
    <row r="26" spans="1:14" ht="18.75" customHeight="1" x14ac:dyDescent="0.3">
      <c r="J26" s="52"/>
      <c r="K26" s="15"/>
    </row>
    <row r="29" spans="1:14" x14ac:dyDescent="0.3">
      <c r="K29" s="15"/>
    </row>
    <row r="30" spans="1:14" ht="18.75" customHeight="1" x14ac:dyDescent="0.3"/>
    <row r="31" spans="1:14" ht="18.75" customHeight="1" x14ac:dyDescent="0.3"/>
  </sheetData>
  <sheetProtection sheet="1" objects="1" scenarios="1"/>
  <mergeCells count="10">
    <mergeCell ref="C1:D1"/>
    <mergeCell ref="E1:I1"/>
    <mergeCell ref="E12:E19"/>
    <mergeCell ref="K24:K25"/>
    <mergeCell ref="J24:J25"/>
    <mergeCell ref="A21:L21"/>
    <mergeCell ref="A20:B20"/>
    <mergeCell ref="D20:E20"/>
    <mergeCell ref="G20:H20"/>
    <mergeCell ref="J20:K20"/>
  </mergeCells>
  <pageMargins left="0.18" right="0.18" top="0.7" bottom="0.26" header="0.23" footer="0.17"/>
  <pageSetup scale="9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X61"/>
  <sheetViews>
    <sheetView zoomScale="60" zoomScaleNormal="60" workbookViewId="0">
      <selection activeCell="P23" sqref="P23"/>
    </sheetView>
  </sheetViews>
  <sheetFormatPr defaultRowHeight="18.75" x14ac:dyDescent="0.3"/>
  <cols>
    <col min="1" max="1" width="11.09765625" customWidth="1"/>
    <col min="2" max="2" width="12.19921875" customWidth="1"/>
    <col min="4" max="4" width="3.69921875" customWidth="1"/>
    <col min="5" max="5" width="21.09765625" customWidth="1"/>
    <col min="6" max="6" width="17.5" customWidth="1"/>
    <col min="7" max="7" width="10.296875" customWidth="1"/>
    <col min="8" max="8" width="15" customWidth="1"/>
    <col min="9" max="9" width="11.8984375" customWidth="1"/>
    <col min="10" max="10" width="10.69921875" customWidth="1"/>
    <col min="11" max="11" width="8.796875" customWidth="1"/>
    <col min="12" max="12" width="17.19921875" customWidth="1"/>
    <col min="13" max="13" width="9" customWidth="1"/>
    <col min="14" max="14" width="10.296875" customWidth="1"/>
    <col min="19" max="19" width="12.3984375" customWidth="1"/>
  </cols>
  <sheetData>
    <row r="1" spans="1:23" ht="39.75" customHeight="1" x14ac:dyDescent="0.4">
      <c r="A1" s="54"/>
      <c r="B1" s="54"/>
      <c r="C1" s="54"/>
      <c r="D1" s="129" t="s">
        <v>135</v>
      </c>
      <c r="E1" s="112" t="s">
        <v>154</v>
      </c>
      <c r="F1" s="54"/>
      <c r="G1" s="54"/>
      <c r="H1" s="54"/>
      <c r="I1" s="54"/>
      <c r="J1" s="54"/>
      <c r="K1" s="53"/>
      <c r="L1" s="53"/>
    </row>
    <row r="2" spans="1:23" x14ac:dyDescent="0.3">
      <c r="D2" s="10"/>
      <c r="E2" s="2"/>
      <c r="F2" s="2"/>
      <c r="G2" s="2"/>
      <c r="H2" s="2"/>
      <c r="I2" s="10"/>
      <c r="J2" s="2"/>
      <c r="K2" s="2"/>
      <c r="L2" s="2"/>
      <c r="M2" s="2"/>
      <c r="N2" s="10"/>
      <c r="O2" s="10"/>
    </row>
    <row r="3" spans="1:23" x14ac:dyDescent="0.3">
      <c r="D3" s="10"/>
      <c r="E3" s="2"/>
      <c r="J3" s="2"/>
      <c r="K3" s="2"/>
      <c r="L3" s="2"/>
      <c r="M3" s="2"/>
      <c r="N3" s="10"/>
      <c r="O3" s="10"/>
    </row>
    <row r="4" spans="1:23" x14ac:dyDescent="0.3">
      <c r="D4" s="10"/>
      <c r="E4" s="2"/>
      <c r="K4" s="2"/>
      <c r="L4" s="2"/>
      <c r="M4" s="2"/>
      <c r="N4" s="10"/>
      <c r="O4" s="10"/>
    </row>
    <row r="5" spans="1:23" x14ac:dyDescent="0.3">
      <c r="D5" s="10"/>
      <c r="E5" s="2"/>
      <c r="K5" s="2"/>
      <c r="L5" s="2"/>
      <c r="M5" s="2"/>
      <c r="N5" s="10"/>
      <c r="O5" s="10"/>
    </row>
    <row r="6" spans="1:23" x14ac:dyDescent="0.3">
      <c r="D6" s="10"/>
      <c r="E6" s="2"/>
      <c r="K6" s="2"/>
      <c r="L6" s="2"/>
      <c r="M6" s="2"/>
      <c r="N6" s="10"/>
      <c r="O6" s="10"/>
    </row>
    <row r="7" spans="1:23" x14ac:dyDescent="0.3">
      <c r="D7" s="10"/>
      <c r="E7" s="2"/>
      <c r="F7" s="2"/>
      <c r="G7" s="2"/>
      <c r="K7" s="2"/>
      <c r="L7" s="2"/>
      <c r="M7" s="2"/>
      <c r="N7" s="10"/>
      <c r="O7" s="10"/>
    </row>
    <row r="8" spans="1:23" x14ac:dyDescent="0.3">
      <c r="D8" s="10"/>
      <c r="E8" s="2"/>
      <c r="F8" s="2"/>
      <c r="G8" s="2"/>
      <c r="H8" s="2"/>
      <c r="I8" s="10"/>
      <c r="J8" s="2"/>
      <c r="K8" s="2"/>
      <c r="L8" s="2"/>
      <c r="M8" s="2"/>
      <c r="N8" s="10"/>
      <c r="O8" s="10"/>
    </row>
    <row r="9" spans="1:23" ht="40.5" customHeight="1" x14ac:dyDescent="0.3">
      <c r="D9" s="10"/>
      <c r="E9" s="2"/>
      <c r="F9" s="2"/>
      <c r="G9" s="2"/>
      <c r="H9" s="2"/>
      <c r="I9" s="10"/>
      <c r="J9" s="2"/>
      <c r="K9" s="2"/>
      <c r="L9" s="2"/>
      <c r="M9" s="2"/>
      <c r="N9" s="10"/>
    </row>
    <row r="10" spans="1:23" ht="48" customHeight="1" x14ac:dyDescent="0.3">
      <c r="D10" s="10"/>
      <c r="E10" s="2"/>
      <c r="F10" s="2"/>
      <c r="G10" s="2"/>
      <c r="H10" s="2"/>
      <c r="I10" s="10"/>
      <c r="J10" s="2"/>
      <c r="K10" s="2"/>
      <c r="L10" s="2"/>
      <c r="M10" s="2"/>
      <c r="N10" s="2"/>
      <c r="V10" s="3"/>
    </row>
    <row r="11" spans="1:23" s="1" customFormat="1" ht="40.5" customHeight="1" x14ac:dyDescent="0.3">
      <c r="D11" s="130"/>
      <c r="E11" s="130"/>
      <c r="M11" s="130"/>
      <c r="N11" s="130"/>
      <c r="V11" s="93"/>
    </row>
    <row r="12" spans="1:23" s="1" customFormat="1" ht="40.5" customHeight="1" x14ac:dyDescent="0.3">
      <c r="M12" s="130"/>
      <c r="N12" s="130"/>
      <c r="V12" s="93"/>
    </row>
    <row r="13" spans="1:23" s="1" customFormat="1" ht="40.5" customHeight="1" x14ac:dyDescent="0.3">
      <c r="M13" s="130"/>
      <c r="N13" s="130"/>
      <c r="V13" s="93"/>
    </row>
    <row r="14" spans="1:23" s="1" customFormat="1" ht="40.5" customHeight="1" x14ac:dyDescent="0.3">
      <c r="M14" s="130"/>
      <c r="N14" s="130"/>
      <c r="V14" s="93"/>
    </row>
    <row r="15" spans="1:23" s="1" customFormat="1" ht="40.5" customHeight="1" x14ac:dyDescent="0.3">
      <c r="M15" s="130"/>
      <c r="N15" s="130"/>
      <c r="V15" s="93"/>
    </row>
    <row r="16" spans="1:23" ht="47.25" customHeight="1" x14ac:dyDescent="0.3">
      <c r="M16" s="94"/>
      <c r="N16" s="2"/>
      <c r="O16" s="10"/>
      <c r="V16" s="3"/>
      <c r="W16" s="3"/>
    </row>
    <row r="17" spans="1:24" x14ac:dyDescent="0.3">
      <c r="M17" s="2"/>
      <c r="N17" s="2"/>
      <c r="O17" s="2"/>
      <c r="R17" s="3"/>
      <c r="S17" s="3"/>
      <c r="T17" s="3"/>
      <c r="U17" s="3"/>
      <c r="V17" s="3"/>
      <c r="W17" s="3"/>
    </row>
    <row r="18" spans="1:24" x14ac:dyDescent="0.3">
      <c r="F18" s="2"/>
      <c r="G18" s="2"/>
      <c r="N18" s="2"/>
      <c r="O18" s="98"/>
      <c r="R18" s="93"/>
      <c r="S18" s="93"/>
      <c r="T18" s="93"/>
      <c r="U18" s="93"/>
      <c r="V18" s="3"/>
      <c r="W18" s="3"/>
    </row>
    <row r="19" spans="1:24" ht="50.25" customHeight="1" x14ac:dyDescent="0.55000000000000004">
      <c r="G19" s="136"/>
      <c r="H19" s="588" t="s">
        <v>89</v>
      </c>
      <c r="I19" s="588"/>
      <c r="J19" s="588"/>
      <c r="K19" s="588"/>
      <c r="L19" s="588"/>
      <c r="M19" s="132"/>
      <c r="N19" s="58"/>
      <c r="O19" s="98"/>
      <c r="S19" s="93"/>
      <c r="T19" s="93"/>
      <c r="U19" s="93"/>
    </row>
    <row r="20" spans="1:24" ht="28.5" customHeight="1" x14ac:dyDescent="0.5">
      <c r="A20" s="587" t="s">
        <v>190</v>
      </c>
      <c r="B20" s="587"/>
      <c r="C20" s="587"/>
      <c r="D20" s="587"/>
      <c r="E20" s="587"/>
      <c r="F20" s="587"/>
      <c r="G20" s="135"/>
      <c r="H20" s="590" t="str">
        <f>'State Data'!F33</f>
        <v>State's Average 6 Month Wage</v>
      </c>
      <c r="I20" s="590"/>
      <c r="J20" s="590"/>
      <c r="K20" s="591">
        <f>'State Data'!G33</f>
        <v>25132.248268429394</v>
      </c>
      <c r="L20" s="591"/>
      <c r="N20" s="2"/>
      <c r="O20" s="98"/>
      <c r="P20" s="1"/>
      <c r="Q20" s="1"/>
      <c r="S20" s="93"/>
      <c r="T20" s="93"/>
      <c r="U20" s="93"/>
      <c r="V20" s="36"/>
      <c r="W20" s="59"/>
    </row>
    <row r="21" spans="1:24" ht="38.25" customHeight="1" x14ac:dyDescent="0.35">
      <c r="A21" s="589" t="s">
        <v>192</v>
      </c>
      <c r="B21" s="589"/>
      <c r="C21" s="589"/>
      <c r="D21" s="589"/>
      <c r="E21" s="146" t="s">
        <v>26</v>
      </c>
      <c r="F21" s="147" t="s">
        <v>193</v>
      </c>
      <c r="G21" s="137"/>
      <c r="H21" s="585" t="s">
        <v>322</v>
      </c>
      <c r="I21" s="585"/>
      <c r="J21" s="585"/>
      <c r="K21" s="586">
        <f>'State Data'!G34</f>
        <v>0.13900000000000001</v>
      </c>
      <c r="L21" s="586"/>
      <c r="N21" s="2"/>
      <c r="O21" s="98"/>
      <c r="P21" s="1"/>
      <c r="Q21" s="1"/>
      <c r="S21" s="93"/>
      <c r="T21" s="93"/>
      <c r="U21" s="93"/>
      <c r="V21" s="36"/>
      <c r="W21" s="59"/>
    </row>
    <row r="22" spans="1:24" s="1" customFormat="1" ht="39.75" customHeight="1" x14ac:dyDescent="0.35">
      <c r="A22" s="596" t="s">
        <v>1</v>
      </c>
      <c r="B22" s="596"/>
      <c r="C22" s="596"/>
      <c r="D22" s="596"/>
      <c r="E22" s="138">
        <f>'State Data'!G4</f>
        <v>161484</v>
      </c>
      <c r="F22" s="138">
        <f>'State Data'!H4</f>
        <v>301515</v>
      </c>
      <c r="G22" s="137"/>
      <c r="H22" s="590" t="s">
        <v>277</v>
      </c>
      <c r="I22" s="590"/>
      <c r="J22" s="590"/>
      <c r="K22" s="595">
        <f>'State Data'!G37</f>
        <v>0.82268474045611417</v>
      </c>
      <c r="L22" s="595"/>
      <c r="N22" s="3"/>
      <c r="O22" s="98"/>
      <c r="P22"/>
      <c r="Q22"/>
      <c r="S22" s="93"/>
      <c r="T22" s="93"/>
      <c r="U22" s="93"/>
      <c r="V22" s="39"/>
      <c r="W22" s="39"/>
    </row>
    <row r="23" spans="1:24" ht="31.5" customHeight="1" x14ac:dyDescent="0.35">
      <c r="A23" s="594" t="s">
        <v>2</v>
      </c>
      <c r="B23" s="594"/>
      <c r="C23" s="594"/>
      <c r="D23" s="594"/>
      <c r="E23" s="139">
        <f>'State Data'!G10</f>
        <v>211074</v>
      </c>
      <c r="F23" s="139">
        <f>'State Data'!H10</f>
        <v>262931</v>
      </c>
      <c r="G23" s="137"/>
      <c r="H23" s="585" t="s">
        <v>88</v>
      </c>
      <c r="I23" s="585"/>
      <c r="J23" s="585"/>
      <c r="K23" s="586">
        <f>'State Data'!G38</f>
        <v>0.23656028747287153</v>
      </c>
      <c r="L23" s="586"/>
      <c r="N23" s="3"/>
      <c r="O23" s="98"/>
      <c r="P23" s="3"/>
      <c r="Q23" s="3"/>
      <c r="R23" s="93"/>
      <c r="S23" s="3"/>
      <c r="T23" s="3"/>
      <c r="U23" s="3"/>
      <c r="V23" s="63"/>
      <c r="W23" s="63"/>
    </row>
    <row r="24" spans="1:24" ht="42.75" customHeight="1" x14ac:dyDescent="0.35">
      <c r="A24" s="596" t="s">
        <v>3</v>
      </c>
      <c r="B24" s="596"/>
      <c r="C24" s="596"/>
      <c r="D24" s="596"/>
      <c r="E24" s="140">
        <f>'State Data'!G16</f>
        <v>3120154224</v>
      </c>
      <c r="F24" s="138">
        <f>'State Data'!H16</f>
        <v>209215</v>
      </c>
      <c r="G24" s="1"/>
      <c r="H24" s="590" t="s">
        <v>90</v>
      </c>
      <c r="I24" s="590"/>
      <c r="J24" s="590"/>
      <c r="K24" s="600" t="str">
        <f>'State Data'!G35</f>
        <v>Transportation Equipment Manufacturing</v>
      </c>
      <c r="L24" s="600"/>
      <c r="N24" s="3"/>
      <c r="O24" s="98"/>
      <c r="P24" s="1"/>
      <c r="Q24" s="1"/>
      <c r="R24" s="93"/>
      <c r="S24" s="3"/>
      <c r="T24" s="3"/>
      <c r="U24" s="3"/>
      <c r="V24" s="70"/>
      <c r="W24" s="70"/>
    </row>
    <row r="25" spans="1:24" ht="45.75" customHeight="1" x14ac:dyDescent="0.35">
      <c r="D25" s="2"/>
      <c r="E25" s="2"/>
      <c r="F25" s="1"/>
      <c r="G25" s="1"/>
      <c r="H25" s="585" t="s">
        <v>191</v>
      </c>
      <c r="I25" s="585"/>
      <c r="J25" s="585"/>
      <c r="K25" s="601" t="str">
        <f>'State Data'!G36</f>
        <v>Building Material&amp;Garden Equip&amp;Supplies Dealers</v>
      </c>
      <c r="L25" s="601"/>
      <c r="N25" s="3"/>
      <c r="O25" s="98"/>
      <c r="R25" s="93"/>
      <c r="S25" s="3"/>
      <c r="T25" s="3"/>
      <c r="U25" s="3"/>
      <c r="V25" s="62"/>
      <c r="W25" s="63"/>
      <c r="X25" s="63"/>
    </row>
    <row r="26" spans="1:24" ht="24.75" customHeight="1" x14ac:dyDescent="0.45">
      <c r="A26" s="55"/>
      <c r="B26" s="55"/>
      <c r="C26" s="55"/>
      <c r="D26" s="55"/>
      <c r="E26" s="55"/>
      <c r="F26" s="55"/>
      <c r="G26" s="55"/>
      <c r="H26" s="55"/>
      <c r="I26" s="55"/>
      <c r="J26" s="55"/>
      <c r="K26" s="55"/>
      <c r="L26" s="55" t="str">
        <f>'State Data'!F1</f>
        <v>PY11 Q4</v>
      </c>
      <c r="N26" s="64"/>
      <c r="O26" s="36"/>
      <c r="R26" s="93"/>
      <c r="V26" s="2"/>
      <c r="W26" s="2"/>
      <c r="X26" s="2"/>
    </row>
    <row r="27" spans="1:24" ht="24" customHeight="1" x14ac:dyDescent="0.45">
      <c r="L27" s="133"/>
      <c r="N27" s="131"/>
      <c r="O27" s="131"/>
      <c r="R27" s="3"/>
      <c r="S27" s="2"/>
      <c r="T27" s="2"/>
      <c r="U27" s="58"/>
      <c r="V27" s="10"/>
      <c r="W27" s="10"/>
      <c r="X27" s="10"/>
    </row>
    <row r="28" spans="1:24" ht="31.5" customHeight="1" x14ac:dyDescent="0.35">
      <c r="L28" s="133"/>
      <c r="N28" s="593"/>
      <c r="O28" s="57"/>
      <c r="P28" s="1"/>
      <c r="Q28" s="1"/>
      <c r="W28" s="10"/>
      <c r="X28" s="10"/>
    </row>
    <row r="29" spans="1:24" ht="30.75" customHeight="1" x14ac:dyDescent="0.3">
      <c r="H29" s="1"/>
      <c r="I29" s="1"/>
      <c r="J29" s="1"/>
      <c r="K29" s="1"/>
      <c r="L29" s="134"/>
      <c r="M29" s="1"/>
      <c r="N29" s="593"/>
      <c r="O29" s="61"/>
      <c r="P29" s="1"/>
      <c r="Q29" s="1"/>
      <c r="W29" s="10"/>
      <c r="X29" s="10"/>
    </row>
    <row r="30" spans="1:24" ht="52.5" customHeight="1" x14ac:dyDescent="0.3">
      <c r="L30" s="134"/>
      <c r="N30" s="3"/>
      <c r="O30" s="57"/>
      <c r="P30" s="1"/>
      <c r="Q30" s="1"/>
    </row>
    <row r="31" spans="1:24" ht="21" x14ac:dyDescent="0.3">
      <c r="L31" s="134"/>
      <c r="O31" s="57"/>
      <c r="P31" s="1"/>
      <c r="Q31" s="1"/>
    </row>
    <row r="32" spans="1:24" ht="21" x14ac:dyDescent="0.3">
      <c r="H32" s="1"/>
      <c r="I32" s="1"/>
      <c r="L32" s="134"/>
      <c r="O32" s="2"/>
      <c r="P32" s="1"/>
      <c r="Q32" s="1"/>
    </row>
    <row r="33" spans="5:18" ht="28.5" x14ac:dyDescent="0.45">
      <c r="E33" s="2"/>
      <c r="F33" s="131"/>
      <c r="G33" s="131"/>
      <c r="H33" s="2"/>
    </row>
    <row r="34" spans="5:18" x14ac:dyDescent="0.3">
      <c r="E34" s="10"/>
    </row>
    <row r="35" spans="5:18" x14ac:dyDescent="0.3">
      <c r="E35" s="23"/>
      <c r="J35" s="2"/>
      <c r="K35" s="2"/>
      <c r="L35" s="58"/>
      <c r="M35" s="10"/>
    </row>
    <row r="36" spans="5:18" x14ac:dyDescent="0.3">
      <c r="E36" s="23"/>
      <c r="J36" s="60"/>
      <c r="K36" s="60"/>
      <c r="L36" s="66"/>
      <c r="M36" s="10"/>
    </row>
    <row r="37" spans="5:18" ht="62.25" customHeight="1" x14ac:dyDescent="0.3">
      <c r="E37" s="15"/>
      <c r="J37" s="2"/>
      <c r="K37" s="2"/>
      <c r="L37" s="67"/>
      <c r="N37" s="59"/>
    </row>
    <row r="38" spans="5:18" x14ac:dyDescent="0.3">
      <c r="I38" s="2"/>
      <c r="J38" s="2"/>
      <c r="K38" s="38"/>
      <c r="L38" s="69"/>
    </row>
    <row r="39" spans="5:18" x14ac:dyDescent="0.3">
      <c r="I39" s="2"/>
      <c r="J39" s="2"/>
      <c r="K39" s="2"/>
      <c r="L39" s="2"/>
    </row>
    <row r="40" spans="5:18" x14ac:dyDescent="0.3">
      <c r="I40" s="37"/>
      <c r="J40" s="2"/>
      <c r="K40" s="2"/>
      <c r="L40" s="2"/>
    </row>
    <row r="41" spans="5:18" x14ac:dyDescent="0.3">
      <c r="I41" s="2"/>
      <c r="J41" s="10"/>
      <c r="K41" s="10"/>
      <c r="L41" s="10"/>
    </row>
    <row r="42" spans="5:18" x14ac:dyDescent="0.3">
      <c r="I42" s="2"/>
      <c r="J42" s="10"/>
      <c r="K42" s="10"/>
      <c r="L42" s="10"/>
    </row>
    <row r="43" spans="5:18" x14ac:dyDescent="0.3">
      <c r="F43" s="59"/>
      <c r="G43" s="59"/>
      <c r="I43" s="57"/>
      <c r="J43" s="10"/>
      <c r="K43" s="10"/>
      <c r="L43" s="10"/>
    </row>
    <row r="44" spans="5:18" x14ac:dyDescent="0.3">
      <c r="F44" s="57"/>
      <c r="G44" s="57"/>
      <c r="H44" s="57"/>
      <c r="I44" s="2"/>
      <c r="M44" s="58"/>
    </row>
    <row r="45" spans="5:18" x14ac:dyDescent="0.3">
      <c r="F45" s="57"/>
      <c r="G45" s="57"/>
      <c r="H45" s="57"/>
      <c r="I45" s="10"/>
    </row>
    <row r="46" spans="5:18" x14ac:dyDescent="0.3">
      <c r="P46" s="61"/>
      <c r="Q46" s="61"/>
      <c r="R46" s="23"/>
    </row>
    <row r="47" spans="5:18" x14ac:dyDescent="0.3">
      <c r="P47" s="22"/>
      <c r="Q47" s="57"/>
      <c r="R47" s="23"/>
    </row>
    <row r="48" spans="5:18" x14ac:dyDescent="0.3">
      <c r="P48" s="68"/>
      <c r="Q48" s="57"/>
      <c r="R48" s="15"/>
    </row>
    <row r="49" spans="16:21" x14ac:dyDescent="0.3">
      <c r="P49" s="57"/>
      <c r="Q49" s="22"/>
      <c r="R49" s="15"/>
    </row>
    <row r="50" spans="16:21" x14ac:dyDescent="0.3">
      <c r="P50" s="2"/>
      <c r="Q50" s="2"/>
    </row>
    <row r="51" spans="16:21" x14ac:dyDescent="0.3">
      <c r="P51" s="10"/>
      <c r="Q51" s="10"/>
      <c r="S51" s="37"/>
      <c r="T51" s="37"/>
      <c r="U51" s="59"/>
    </row>
    <row r="52" spans="16:21" x14ac:dyDescent="0.3">
      <c r="P52" s="23"/>
      <c r="Q52" s="23"/>
    </row>
    <row r="53" spans="16:21" x14ac:dyDescent="0.3">
      <c r="P53" s="23"/>
      <c r="Q53" s="23"/>
    </row>
    <row r="54" spans="16:21" x14ac:dyDescent="0.3">
      <c r="P54" s="15"/>
      <c r="Q54" s="15"/>
    </row>
    <row r="55" spans="16:21" x14ac:dyDescent="0.3">
      <c r="P55" s="15"/>
      <c r="Q55" s="15"/>
      <c r="R55" s="2"/>
    </row>
    <row r="61" spans="16:21" x14ac:dyDescent="0.3">
      <c r="P61" s="57"/>
      <c r="Q61" s="57"/>
    </row>
  </sheetData>
  <sheetProtection sheet="1" objects="1" scenarios="1"/>
  <mergeCells count="19">
    <mergeCell ref="A20:F20"/>
    <mergeCell ref="A22:D22"/>
    <mergeCell ref="A23:D23"/>
    <mergeCell ref="A24:D24"/>
    <mergeCell ref="A21:D21"/>
    <mergeCell ref="N28:N29"/>
    <mergeCell ref="K24:L24"/>
    <mergeCell ref="K25:L25"/>
    <mergeCell ref="H19:L19"/>
    <mergeCell ref="H21:J21"/>
    <mergeCell ref="H22:J22"/>
    <mergeCell ref="H23:J23"/>
    <mergeCell ref="K22:L22"/>
    <mergeCell ref="K23:L23"/>
    <mergeCell ref="H24:J24"/>
    <mergeCell ref="H25:J25"/>
    <mergeCell ref="K20:L20"/>
    <mergeCell ref="K21:L21"/>
    <mergeCell ref="H20:J20"/>
  </mergeCells>
  <pageMargins left="0.43" right="0.12" top="0.41" bottom="0.03" header="0.22" footer="0.15"/>
  <pageSetup scale="69"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ublished="0">
    <pageSetUpPr fitToPage="1"/>
  </sheetPr>
  <dimension ref="A1:S85"/>
  <sheetViews>
    <sheetView zoomScale="60" zoomScaleNormal="60" workbookViewId="0">
      <selection activeCell="D23" sqref="D23"/>
    </sheetView>
  </sheetViews>
  <sheetFormatPr defaultRowHeight="18.75" x14ac:dyDescent="0.3"/>
  <cols>
    <col min="1" max="1" width="48.19921875" style="6" bestFit="1" customWidth="1"/>
    <col min="2" max="2" width="87.796875" style="8" bestFit="1" customWidth="1"/>
    <col min="3" max="3" width="5.296875" style="77" customWidth="1"/>
    <col min="4" max="4" width="53.19921875" style="7" bestFit="1" customWidth="1"/>
    <col min="5" max="5" width="23.69921875" style="8" customWidth="1"/>
    <col min="6" max="6" width="18.69921875" style="8" customWidth="1"/>
    <col min="7" max="7" width="14.09765625" style="8" customWidth="1"/>
    <col min="8" max="8" width="12.59765625" style="8" customWidth="1"/>
    <col min="9" max="9" width="3.3984375" style="5" customWidth="1"/>
    <col min="13" max="13" width="11.3984375" customWidth="1"/>
  </cols>
  <sheetData>
    <row r="1" spans="1:15" s="17" customFormat="1" ht="31.5" x14ac:dyDescent="0.5">
      <c r="A1" s="619" t="s">
        <v>60</v>
      </c>
      <c r="B1" s="619"/>
      <c r="C1" s="311"/>
      <c r="D1" s="619" t="s">
        <v>59</v>
      </c>
      <c r="E1" s="619"/>
      <c r="F1" s="619"/>
      <c r="G1" s="619"/>
      <c r="H1" s="619"/>
      <c r="I1" s="312"/>
      <c r="J1" s="312"/>
      <c r="K1" s="312"/>
      <c r="L1" s="312"/>
      <c r="M1" s="312"/>
    </row>
    <row r="2" spans="1:15" x14ac:dyDescent="0.3">
      <c r="A2" s="618" t="s">
        <v>63</v>
      </c>
      <c r="B2" s="618"/>
      <c r="C2" s="313"/>
      <c r="D2" s="624" t="s">
        <v>57</v>
      </c>
      <c r="E2" s="625"/>
      <c r="F2" s="625"/>
      <c r="G2" s="625"/>
      <c r="H2" s="626"/>
      <c r="I2" s="314"/>
      <c r="J2" s="312"/>
      <c r="K2" s="312"/>
      <c r="L2" s="312"/>
      <c r="M2" s="312"/>
    </row>
    <row r="3" spans="1:15" ht="37.5" x14ac:dyDescent="0.3">
      <c r="A3" s="315" t="s">
        <v>8</v>
      </c>
      <c r="B3" s="316" t="s">
        <v>74</v>
      </c>
      <c r="C3" s="313"/>
      <c r="D3" s="630" t="s">
        <v>247</v>
      </c>
      <c r="E3" s="631"/>
      <c r="F3" s="631"/>
      <c r="G3" s="631"/>
      <c r="H3" s="632"/>
      <c r="I3" s="314"/>
      <c r="J3" s="312"/>
      <c r="K3" s="312"/>
      <c r="L3" s="312"/>
      <c r="M3" s="312"/>
    </row>
    <row r="4" spans="1:15" ht="37.5" x14ac:dyDescent="0.3">
      <c r="A4" s="317" t="s">
        <v>62</v>
      </c>
      <c r="B4" s="316" t="s">
        <v>454</v>
      </c>
      <c r="C4" s="313"/>
      <c r="D4" s="602" t="s">
        <v>61</v>
      </c>
      <c r="E4" s="603"/>
      <c r="F4" s="603"/>
      <c r="G4" s="603"/>
      <c r="H4" s="604"/>
      <c r="I4" s="314"/>
      <c r="J4" s="312"/>
      <c r="K4" s="312"/>
      <c r="L4" s="312"/>
      <c r="M4" s="312"/>
    </row>
    <row r="5" spans="1:15" ht="37.5" x14ac:dyDescent="0.3">
      <c r="A5" s="317" t="s">
        <v>41</v>
      </c>
      <c r="B5" s="316" t="s">
        <v>687</v>
      </c>
      <c r="C5" s="313"/>
      <c r="D5" s="624" t="s">
        <v>58</v>
      </c>
      <c r="E5" s="625"/>
      <c r="F5" s="625"/>
      <c r="G5" s="625"/>
      <c r="H5" s="626"/>
      <c r="I5" s="314"/>
      <c r="J5" s="312"/>
      <c r="K5" s="312"/>
      <c r="L5" s="312"/>
      <c r="M5" s="312"/>
    </row>
    <row r="6" spans="1:15" ht="37.5" x14ac:dyDescent="0.3">
      <c r="A6" s="550" t="s">
        <v>693</v>
      </c>
      <c r="B6" s="551" t="s">
        <v>694</v>
      </c>
      <c r="C6" s="313"/>
      <c r="D6" s="627" t="s">
        <v>70</v>
      </c>
      <c r="E6" s="628"/>
      <c r="F6" s="628"/>
      <c r="G6" s="628"/>
      <c r="H6" s="629"/>
      <c r="I6" s="314"/>
      <c r="J6" s="312"/>
      <c r="K6" s="312"/>
      <c r="L6" s="312"/>
      <c r="M6" s="312"/>
    </row>
    <row r="7" spans="1:15" ht="37.5" x14ac:dyDescent="0.3">
      <c r="A7" s="550" t="s">
        <v>695</v>
      </c>
      <c r="B7" s="551" t="s">
        <v>696</v>
      </c>
      <c r="C7" s="313"/>
      <c r="D7" s="624" t="s">
        <v>30</v>
      </c>
      <c r="E7" s="625"/>
      <c r="F7" s="625"/>
      <c r="G7" s="625"/>
      <c r="H7" s="626"/>
      <c r="I7" s="314"/>
      <c r="J7" s="318"/>
      <c r="K7" s="312"/>
      <c r="L7" s="312"/>
      <c r="M7" s="312"/>
    </row>
    <row r="8" spans="1:15" ht="37.5" x14ac:dyDescent="0.3">
      <c r="A8" s="317" t="s">
        <v>567</v>
      </c>
      <c r="B8" s="316" t="s">
        <v>612</v>
      </c>
      <c r="C8" s="313"/>
      <c r="D8" s="319" t="s">
        <v>112</v>
      </c>
      <c r="E8" s="605" t="s">
        <v>258</v>
      </c>
      <c r="F8" s="605"/>
      <c r="G8" s="605"/>
      <c r="H8" s="605"/>
      <c r="I8" s="314"/>
      <c r="J8" s="312"/>
      <c r="K8" s="312"/>
      <c r="L8" s="312"/>
      <c r="M8" s="312"/>
    </row>
    <row r="9" spans="1:15" x14ac:dyDescent="0.3">
      <c r="A9" s="317" t="s">
        <v>568</v>
      </c>
      <c r="B9" s="316" t="s">
        <v>613</v>
      </c>
      <c r="C9" s="313"/>
      <c r="D9" s="319" t="s">
        <v>31</v>
      </c>
      <c r="E9" s="606" t="s">
        <v>615</v>
      </c>
      <c r="F9" s="606"/>
      <c r="G9" s="606"/>
      <c r="H9" s="606"/>
      <c r="I9" s="314"/>
      <c r="J9" s="312"/>
      <c r="K9" s="312"/>
      <c r="L9" s="312"/>
      <c r="M9" s="312"/>
    </row>
    <row r="10" spans="1:15" ht="37.5" x14ac:dyDescent="0.3">
      <c r="A10" s="317" t="s">
        <v>569</v>
      </c>
      <c r="B10" s="316" t="s">
        <v>614</v>
      </c>
      <c r="C10" s="313"/>
      <c r="D10" s="607"/>
      <c r="E10" s="608"/>
      <c r="F10" s="608"/>
      <c r="G10" s="608"/>
      <c r="H10" s="609"/>
      <c r="I10" s="314"/>
      <c r="J10" s="312"/>
      <c r="K10" s="312"/>
      <c r="L10" s="312"/>
      <c r="M10" s="312"/>
    </row>
    <row r="11" spans="1:15" ht="37.5" x14ac:dyDescent="0.3">
      <c r="A11" s="317" t="s">
        <v>42</v>
      </c>
      <c r="B11" s="316" t="s">
        <v>49</v>
      </c>
      <c r="C11" s="313"/>
      <c r="D11" s="320" t="s">
        <v>71</v>
      </c>
      <c r="E11" s="634" t="s">
        <v>559</v>
      </c>
      <c r="F11" s="635"/>
      <c r="G11" s="635"/>
      <c r="H11" s="636"/>
      <c r="I11" s="314"/>
      <c r="J11" s="312"/>
      <c r="K11" s="312"/>
      <c r="L11" s="312"/>
      <c r="M11" s="312"/>
    </row>
    <row r="12" spans="1:15" ht="37.5" x14ac:dyDescent="0.3">
      <c r="A12" s="317" t="s">
        <v>39</v>
      </c>
      <c r="B12" s="316" t="s">
        <v>75</v>
      </c>
      <c r="C12" s="313"/>
      <c r="D12" s="320" t="s">
        <v>266</v>
      </c>
      <c r="E12" s="620" t="s">
        <v>611</v>
      </c>
      <c r="F12" s="621"/>
      <c r="G12" s="621"/>
      <c r="H12" s="622"/>
      <c r="I12" s="314"/>
      <c r="J12" s="312"/>
      <c r="K12" s="312"/>
      <c r="L12" s="312"/>
      <c r="M12" s="312"/>
    </row>
    <row r="13" spans="1:15" ht="75" x14ac:dyDescent="0.3">
      <c r="A13" s="317" t="s">
        <v>40</v>
      </c>
      <c r="B13" s="316" t="s">
        <v>616</v>
      </c>
      <c r="C13" s="313"/>
      <c r="D13" s="320" t="s">
        <v>72</v>
      </c>
      <c r="E13" s="633" t="s">
        <v>318</v>
      </c>
      <c r="F13" s="633"/>
      <c r="G13" s="633"/>
      <c r="H13" s="322"/>
      <c r="I13" s="314"/>
      <c r="J13" s="312"/>
      <c r="K13" s="312"/>
      <c r="L13" s="312"/>
      <c r="M13" s="312"/>
    </row>
    <row r="14" spans="1:15" x14ac:dyDescent="0.3">
      <c r="A14" s="618" t="s">
        <v>325</v>
      </c>
      <c r="B14" s="618"/>
      <c r="C14" s="313"/>
      <c r="D14" s="320" t="s">
        <v>37</v>
      </c>
      <c r="E14" s="637" t="s">
        <v>321</v>
      </c>
      <c r="F14" s="638"/>
      <c r="G14" s="638"/>
      <c r="H14" s="639"/>
      <c r="I14" s="314"/>
      <c r="J14" s="312"/>
      <c r="K14" s="312"/>
      <c r="L14" s="312"/>
      <c r="M14" s="312"/>
    </row>
    <row r="15" spans="1:15" ht="37.5" x14ac:dyDescent="0.3">
      <c r="A15" s="321" t="s">
        <v>246</v>
      </c>
      <c r="B15" s="316" t="s">
        <v>253</v>
      </c>
      <c r="C15" s="313"/>
      <c r="D15" s="320" t="s">
        <v>38</v>
      </c>
      <c r="E15" s="640" t="s">
        <v>73</v>
      </c>
      <c r="F15" s="641"/>
      <c r="G15" s="641"/>
      <c r="H15" s="642"/>
      <c r="I15" s="314"/>
      <c r="J15" s="324"/>
      <c r="K15" s="324"/>
      <c r="L15" s="324"/>
      <c r="M15" s="324"/>
      <c r="N15" s="2"/>
      <c r="O15" s="2"/>
    </row>
    <row r="16" spans="1:15" x14ac:dyDescent="0.3">
      <c r="A16" s="315" t="s">
        <v>43</v>
      </c>
      <c r="B16" s="316" t="s">
        <v>252</v>
      </c>
      <c r="C16" s="313"/>
      <c r="D16" s="325" t="s">
        <v>259</v>
      </c>
      <c r="E16" s="616" t="s">
        <v>658</v>
      </c>
      <c r="F16" s="616"/>
      <c r="G16" s="616"/>
      <c r="H16" s="616"/>
      <c r="I16" s="314"/>
      <c r="J16" s="324"/>
      <c r="K16" s="324"/>
      <c r="L16" s="324"/>
      <c r="M16" s="324"/>
      <c r="N16" s="2"/>
      <c r="O16" s="2"/>
    </row>
    <row r="17" spans="1:19" ht="19.5" thickBot="1" x14ac:dyDescent="0.35">
      <c r="A17" s="323" t="s">
        <v>11</v>
      </c>
      <c r="B17" s="316" t="s">
        <v>255</v>
      </c>
      <c r="C17" s="313"/>
      <c r="D17" s="326" t="s">
        <v>260</v>
      </c>
      <c r="E17" s="617"/>
      <c r="F17" s="617"/>
      <c r="G17" s="617"/>
      <c r="H17" s="617"/>
      <c r="I17" s="314"/>
      <c r="J17" s="324"/>
      <c r="K17" s="327"/>
      <c r="L17" s="327"/>
      <c r="M17" s="328"/>
      <c r="N17" s="2"/>
      <c r="O17" s="2"/>
    </row>
    <row r="18" spans="1:19" ht="37.5" x14ac:dyDescent="0.3">
      <c r="A18" s="317" t="s">
        <v>44</v>
      </c>
      <c r="B18" s="316" t="s">
        <v>254</v>
      </c>
      <c r="C18" s="313"/>
      <c r="D18" s="613"/>
      <c r="E18" s="614"/>
      <c r="F18" s="614"/>
      <c r="G18" s="614"/>
      <c r="H18" s="615"/>
      <c r="I18" s="314"/>
      <c r="J18" s="324"/>
      <c r="K18" s="327"/>
      <c r="L18" s="327"/>
      <c r="M18" s="327"/>
      <c r="N18" s="2"/>
      <c r="O18" s="2"/>
    </row>
    <row r="19" spans="1:19" x14ac:dyDescent="0.3">
      <c r="A19" s="618" t="s">
        <v>64</v>
      </c>
      <c r="B19" s="618"/>
      <c r="C19" s="313"/>
      <c r="D19" s="329"/>
      <c r="E19" s="293"/>
      <c r="F19" s="293"/>
      <c r="G19" s="293"/>
      <c r="H19" s="330"/>
      <c r="I19" s="314"/>
      <c r="J19" s="324"/>
      <c r="K19" s="324"/>
      <c r="L19" s="324"/>
      <c r="M19" s="324"/>
      <c r="N19" s="2"/>
      <c r="O19" s="2"/>
    </row>
    <row r="20" spans="1:19" s="1" customFormat="1" ht="56.25" x14ac:dyDescent="0.3">
      <c r="A20" s="317" t="s">
        <v>13</v>
      </c>
      <c r="B20" s="316" t="s">
        <v>319</v>
      </c>
      <c r="C20" s="313"/>
      <c r="D20" s="331"/>
      <c r="E20" s="332"/>
      <c r="F20" s="333"/>
      <c r="G20" s="332"/>
      <c r="H20" s="330"/>
      <c r="I20" s="314"/>
      <c r="J20" s="334"/>
      <c r="K20" s="334"/>
      <c r="L20" s="334"/>
      <c r="M20" s="334"/>
      <c r="N20" s="37"/>
      <c r="O20" s="37"/>
    </row>
    <row r="21" spans="1:19" ht="37.5" x14ac:dyDescent="0.3">
      <c r="A21" s="317" t="s">
        <v>12</v>
      </c>
      <c r="B21" s="316" t="s">
        <v>50</v>
      </c>
      <c r="C21" s="313"/>
      <c r="D21" s="352"/>
      <c r="E21" s="353"/>
      <c r="F21" s="354"/>
      <c r="G21" s="354"/>
      <c r="H21" s="355"/>
      <c r="I21" s="356"/>
      <c r="J21" s="356"/>
      <c r="K21" s="356"/>
      <c r="L21" s="324"/>
      <c r="M21" s="324"/>
      <c r="N21" s="2"/>
      <c r="O21" s="2"/>
    </row>
    <row r="22" spans="1:19" ht="37.5" x14ac:dyDescent="0.3">
      <c r="A22" s="317" t="s">
        <v>14</v>
      </c>
      <c r="B22" s="316" t="s">
        <v>51</v>
      </c>
      <c r="C22" s="313"/>
      <c r="D22" s="357"/>
      <c r="E22" s="353"/>
      <c r="F22" s="358"/>
      <c r="G22" s="358"/>
      <c r="H22" s="359"/>
      <c r="I22" s="356"/>
      <c r="J22" s="356"/>
      <c r="K22" s="356"/>
      <c r="L22" s="324"/>
      <c r="M22" s="324"/>
      <c r="N22" s="2"/>
      <c r="O22" s="2"/>
      <c r="R22" s="12"/>
      <c r="S22" s="14"/>
    </row>
    <row r="23" spans="1:19" x14ac:dyDescent="0.3">
      <c r="A23" s="321" t="s">
        <v>15</v>
      </c>
      <c r="B23" s="316" t="s">
        <v>320</v>
      </c>
      <c r="C23" s="335"/>
      <c r="D23" s="360"/>
      <c r="E23" s="361"/>
      <c r="F23" s="358"/>
      <c r="G23" s="358"/>
      <c r="H23" s="362"/>
      <c r="I23" s="356"/>
      <c r="J23" s="356"/>
      <c r="K23" s="356"/>
      <c r="L23" s="324"/>
      <c r="M23" s="324"/>
      <c r="N23" s="2"/>
      <c r="O23" s="2"/>
    </row>
    <row r="24" spans="1:19" x14ac:dyDescent="0.3">
      <c r="A24" s="618" t="s">
        <v>65</v>
      </c>
      <c r="B24" s="618"/>
      <c r="C24" s="335"/>
      <c r="D24" s="360"/>
      <c r="E24" s="353"/>
      <c r="F24" s="358"/>
      <c r="G24" s="358"/>
      <c r="H24" s="362"/>
      <c r="I24" s="356"/>
      <c r="J24" s="363"/>
      <c r="K24" s="363"/>
      <c r="L24" s="336"/>
      <c r="M24" s="337"/>
      <c r="N24" s="35"/>
      <c r="O24" s="2"/>
      <c r="R24" s="12"/>
      <c r="S24" s="14"/>
    </row>
    <row r="25" spans="1:19" s="1" customFormat="1" x14ac:dyDescent="0.3">
      <c r="A25" s="317" t="s">
        <v>9</v>
      </c>
      <c r="B25" s="316" t="s">
        <v>52</v>
      </c>
      <c r="C25" s="335"/>
      <c r="D25" s="360"/>
      <c r="E25" s="361"/>
      <c r="F25" s="358"/>
      <c r="G25" s="358"/>
      <c r="H25" s="362"/>
      <c r="I25" s="356"/>
      <c r="J25" s="356"/>
      <c r="K25" s="364"/>
      <c r="L25" s="338"/>
      <c r="M25" s="338"/>
      <c r="N25" s="56"/>
      <c r="O25" s="37"/>
      <c r="R25" s="13"/>
      <c r="S25" s="13"/>
    </row>
    <row r="26" spans="1:19" ht="37.5" x14ac:dyDescent="0.3">
      <c r="A26" s="317" t="s">
        <v>16</v>
      </c>
      <c r="B26" s="316" t="s">
        <v>53</v>
      </c>
      <c r="C26" s="335"/>
      <c r="D26" s="360"/>
      <c r="E26" s="365"/>
      <c r="F26" s="358"/>
      <c r="G26" s="358"/>
      <c r="H26" s="362"/>
      <c r="I26" s="356"/>
      <c r="J26" s="356"/>
      <c r="K26" s="356"/>
      <c r="L26" s="340"/>
      <c r="M26" s="338"/>
      <c r="N26" s="59"/>
      <c r="O26" s="2"/>
      <c r="R26" s="12"/>
      <c r="S26" s="14"/>
    </row>
    <row r="27" spans="1:19" ht="19.5" thickBot="1" x14ac:dyDescent="0.35">
      <c r="A27" s="618" t="s">
        <v>66</v>
      </c>
      <c r="B27" s="618"/>
      <c r="C27" s="335"/>
      <c r="D27" s="366"/>
      <c r="E27" s="367"/>
      <c r="F27" s="368"/>
      <c r="G27" s="369"/>
      <c r="H27" s="370"/>
      <c r="I27" s="356"/>
      <c r="J27" s="361"/>
      <c r="K27" s="361"/>
      <c r="L27" s="65"/>
      <c r="M27" s="338"/>
      <c r="N27" s="59"/>
      <c r="O27" s="2"/>
      <c r="R27" s="12"/>
    </row>
    <row r="28" spans="1:19" ht="56.25" x14ac:dyDescent="0.3">
      <c r="A28" s="317" t="s">
        <v>453</v>
      </c>
      <c r="B28" s="339" t="s">
        <v>660</v>
      </c>
      <c r="C28" s="335"/>
      <c r="D28" s="371"/>
      <c r="E28" s="366"/>
      <c r="F28" s="372"/>
      <c r="G28" s="372"/>
      <c r="H28" s="372"/>
      <c r="I28" s="372"/>
      <c r="J28" s="353"/>
      <c r="K28" s="353"/>
      <c r="L28" s="342"/>
      <c r="M28" s="340"/>
      <c r="N28" s="59"/>
      <c r="O28" s="2"/>
      <c r="R28" s="12"/>
      <c r="S28" s="12"/>
    </row>
    <row r="29" spans="1:19" ht="37.5" x14ac:dyDescent="0.3">
      <c r="A29" s="317" t="s">
        <v>617</v>
      </c>
      <c r="B29" s="341" t="s">
        <v>189</v>
      </c>
      <c r="C29" s="91"/>
      <c r="D29" s="8"/>
      <c r="I29" s="8"/>
      <c r="J29" s="60"/>
      <c r="K29" s="60"/>
      <c r="L29" s="66"/>
      <c r="M29" s="39"/>
      <c r="N29" s="39"/>
      <c r="O29" s="2"/>
      <c r="Q29" s="1"/>
      <c r="R29" s="12"/>
      <c r="S29" s="12"/>
    </row>
    <row r="30" spans="1:19" ht="37.5" x14ac:dyDescent="0.3">
      <c r="A30" s="317" t="s">
        <v>688</v>
      </c>
      <c r="B30" s="341" t="s">
        <v>689</v>
      </c>
      <c r="C30" s="91"/>
      <c r="D30" s="8"/>
      <c r="I30" s="8"/>
      <c r="J30" s="2"/>
      <c r="K30" s="63"/>
      <c r="L30" s="67"/>
      <c r="M30" s="63"/>
      <c r="N30" s="63"/>
      <c r="O30" s="2"/>
      <c r="R30" s="12"/>
      <c r="S30" s="12"/>
    </row>
    <row r="31" spans="1:19" x14ac:dyDescent="0.3">
      <c r="A31" s="317" t="s">
        <v>243</v>
      </c>
      <c r="B31" s="341" t="s">
        <v>618</v>
      </c>
      <c r="C31" s="91"/>
      <c r="D31" s="8"/>
      <c r="I31" s="8"/>
      <c r="J31" s="2"/>
      <c r="K31" s="38"/>
      <c r="L31" s="69"/>
      <c r="M31" s="70"/>
      <c r="N31" s="70"/>
      <c r="O31" s="2"/>
    </row>
    <row r="32" spans="1:19" x14ac:dyDescent="0.3">
      <c r="A32" s="317" t="s">
        <v>46</v>
      </c>
      <c r="B32" s="341" t="s">
        <v>619</v>
      </c>
      <c r="C32" s="91"/>
      <c r="D32" s="8"/>
      <c r="I32" s="8"/>
      <c r="J32" s="2"/>
      <c r="K32" s="2"/>
      <c r="L32" s="62"/>
      <c r="M32" s="63"/>
      <c r="N32" s="63"/>
      <c r="O32" s="2"/>
    </row>
    <row r="33" spans="1:15" ht="21" x14ac:dyDescent="0.35">
      <c r="A33" s="623" t="s">
        <v>67</v>
      </c>
      <c r="B33" s="623"/>
      <c r="C33" s="91"/>
      <c r="D33" s="8"/>
      <c r="I33" s="8"/>
      <c r="J33" s="2"/>
      <c r="K33" s="2"/>
      <c r="L33" s="2"/>
      <c r="M33" s="2"/>
      <c r="N33" s="2"/>
      <c r="O33" s="2"/>
    </row>
    <row r="34" spans="1:15" x14ac:dyDescent="0.3">
      <c r="A34" s="84" t="s">
        <v>68</v>
      </c>
      <c r="B34" s="85" t="s">
        <v>69</v>
      </c>
      <c r="C34" s="91"/>
      <c r="D34" s="8"/>
      <c r="I34" s="8"/>
      <c r="J34" s="2"/>
      <c r="K34" s="2"/>
      <c r="L34" s="2"/>
      <c r="M34" s="2"/>
      <c r="N34" s="2"/>
      <c r="O34" s="2"/>
    </row>
    <row r="35" spans="1:15" x14ac:dyDescent="0.3">
      <c r="A35" s="83" t="s">
        <v>35</v>
      </c>
      <c r="B35" s="86" t="s">
        <v>56</v>
      </c>
      <c r="C35" s="92"/>
      <c r="D35" s="8"/>
      <c r="I35" s="8"/>
      <c r="J35" s="2"/>
    </row>
    <row r="36" spans="1:15" ht="32.25" x14ac:dyDescent="0.3">
      <c r="A36" s="310" t="s">
        <v>47</v>
      </c>
      <c r="B36" s="87" t="s">
        <v>623</v>
      </c>
      <c r="C36" s="91"/>
      <c r="D36" s="8"/>
      <c r="I36" s="8"/>
      <c r="J36" s="2"/>
    </row>
    <row r="37" spans="1:15" x14ac:dyDescent="0.3">
      <c r="A37" s="310" t="s">
        <v>48</v>
      </c>
      <c r="B37" s="87" t="s">
        <v>624</v>
      </c>
      <c r="C37" s="91"/>
      <c r="D37" s="611" t="s">
        <v>378</v>
      </c>
      <c r="I37" s="8"/>
      <c r="J37" s="2"/>
    </row>
    <row r="38" spans="1:15" ht="31.5" x14ac:dyDescent="0.3">
      <c r="A38" s="82" t="s">
        <v>27</v>
      </c>
      <c r="B38" s="88" t="s">
        <v>566</v>
      </c>
      <c r="C38" s="4"/>
      <c r="D38" s="612"/>
      <c r="H38" s="4"/>
      <c r="I38" s="4"/>
      <c r="J38" s="2"/>
    </row>
    <row r="39" spans="1:15" x14ac:dyDescent="0.3">
      <c r="A39" s="83" t="s">
        <v>54</v>
      </c>
      <c r="B39" s="87" t="s">
        <v>257</v>
      </c>
      <c r="C39" s="4"/>
      <c r="D39" s="189" t="s">
        <v>379</v>
      </c>
      <c r="H39" s="4"/>
      <c r="I39" s="4"/>
      <c r="J39" s="2"/>
    </row>
    <row r="40" spans="1:15" x14ac:dyDescent="0.3">
      <c r="A40" s="83" t="s">
        <v>34</v>
      </c>
      <c r="B40" s="89" t="s">
        <v>55</v>
      </c>
      <c r="C40" s="4"/>
      <c r="D40" s="189" t="s">
        <v>380</v>
      </c>
      <c r="H40" s="4"/>
      <c r="I40" s="4"/>
      <c r="J40" s="2"/>
    </row>
    <row r="41" spans="1:15" x14ac:dyDescent="0.3">
      <c r="A41" s="90"/>
      <c r="B41" s="90"/>
      <c r="C41" s="4"/>
      <c r="D41" s="189" t="s">
        <v>381</v>
      </c>
      <c r="H41" s="4"/>
      <c r="I41" s="4"/>
      <c r="J41" s="2"/>
    </row>
    <row r="42" spans="1:15" ht="28.5" x14ac:dyDescent="0.45">
      <c r="A42" s="610" t="s">
        <v>326</v>
      </c>
      <c r="B42" s="610"/>
      <c r="C42" s="4"/>
      <c r="D42" s="189" t="s">
        <v>382</v>
      </c>
      <c r="H42" s="5"/>
      <c r="I42" s="4"/>
      <c r="J42" s="2"/>
    </row>
    <row r="43" spans="1:15" ht="19.5" thickBot="1" x14ac:dyDescent="0.35">
      <c r="A43" s="175" t="s">
        <v>327</v>
      </c>
      <c r="B43" s="176" t="s">
        <v>328</v>
      </c>
      <c r="C43" s="7"/>
      <c r="D43" s="189" t="s">
        <v>383</v>
      </c>
      <c r="H43" s="5"/>
      <c r="I43" s="2"/>
    </row>
    <row r="44" spans="1:15" x14ac:dyDescent="0.3">
      <c r="A44" s="177" t="s">
        <v>362</v>
      </c>
      <c r="B44" s="178" t="s">
        <v>331</v>
      </c>
      <c r="C44" s="7"/>
      <c r="D44" s="189" t="s">
        <v>384</v>
      </c>
      <c r="H44" s="5"/>
      <c r="I44" s="2"/>
    </row>
    <row r="45" spans="1:15" x14ac:dyDescent="0.3">
      <c r="A45" s="179" t="s">
        <v>363</v>
      </c>
      <c r="B45" s="180" t="s">
        <v>332</v>
      </c>
      <c r="C45" s="7"/>
      <c r="D45" s="189" t="s">
        <v>385</v>
      </c>
      <c r="H45" s="5"/>
      <c r="I45" s="2"/>
    </row>
    <row r="46" spans="1:15" x14ac:dyDescent="0.3">
      <c r="A46" s="179" t="s">
        <v>364</v>
      </c>
      <c r="B46" s="180" t="s">
        <v>333</v>
      </c>
      <c r="C46" s="7"/>
      <c r="D46" s="189" t="s">
        <v>386</v>
      </c>
      <c r="H46" s="5"/>
      <c r="I46" s="2"/>
    </row>
    <row r="47" spans="1:15" x14ac:dyDescent="0.3">
      <c r="A47" s="179" t="s">
        <v>365</v>
      </c>
      <c r="B47" s="180" t="s">
        <v>334</v>
      </c>
      <c r="C47" s="7"/>
      <c r="D47" s="189" t="s">
        <v>387</v>
      </c>
      <c r="H47" s="5"/>
      <c r="I47" s="2"/>
    </row>
    <row r="48" spans="1:15" x14ac:dyDescent="0.3">
      <c r="A48" s="179" t="s">
        <v>366</v>
      </c>
      <c r="B48" s="180" t="s">
        <v>335</v>
      </c>
      <c r="C48" s="7"/>
      <c r="D48" s="189" t="s">
        <v>388</v>
      </c>
      <c r="H48" s="5"/>
      <c r="I48"/>
    </row>
    <row r="49" spans="1:9" x14ac:dyDescent="0.3">
      <c r="A49" s="179" t="s">
        <v>367</v>
      </c>
      <c r="B49" s="180" t="s">
        <v>336</v>
      </c>
      <c r="C49" s="7"/>
      <c r="D49" s="189" t="s">
        <v>389</v>
      </c>
      <c r="H49" s="5"/>
      <c r="I49"/>
    </row>
    <row r="50" spans="1:9" x14ac:dyDescent="0.3">
      <c r="A50" s="181" t="s">
        <v>330</v>
      </c>
      <c r="B50" s="180" t="s">
        <v>337</v>
      </c>
      <c r="C50" s="7"/>
      <c r="D50" s="189" t="s">
        <v>390</v>
      </c>
      <c r="H50" s="5"/>
      <c r="I50"/>
    </row>
    <row r="51" spans="1:9" x14ac:dyDescent="0.3">
      <c r="A51" s="179" t="s">
        <v>368</v>
      </c>
      <c r="B51" s="180" t="s">
        <v>338</v>
      </c>
      <c r="C51" s="7"/>
      <c r="D51" s="189" t="s">
        <v>391</v>
      </c>
      <c r="H51" s="5"/>
      <c r="I51"/>
    </row>
    <row r="52" spans="1:9" x14ac:dyDescent="0.3">
      <c r="A52" s="179" t="s">
        <v>369</v>
      </c>
      <c r="B52" s="180" t="s">
        <v>339</v>
      </c>
      <c r="C52" s="7"/>
      <c r="D52" s="189" t="s">
        <v>392</v>
      </c>
      <c r="H52" s="5"/>
      <c r="I52"/>
    </row>
    <row r="53" spans="1:9" x14ac:dyDescent="0.3">
      <c r="A53" s="254" t="s">
        <v>455</v>
      </c>
      <c r="B53" s="180" t="s">
        <v>340</v>
      </c>
      <c r="C53" s="7"/>
      <c r="D53" s="189" t="s">
        <v>393</v>
      </c>
      <c r="H53" s="5"/>
      <c r="I53"/>
    </row>
    <row r="54" spans="1:9" x14ac:dyDescent="0.3">
      <c r="A54" s="179" t="s">
        <v>370</v>
      </c>
      <c r="B54" s="180" t="s">
        <v>341</v>
      </c>
      <c r="C54" s="7"/>
      <c r="D54" s="189" t="s">
        <v>394</v>
      </c>
      <c r="H54" s="5"/>
      <c r="I54"/>
    </row>
    <row r="55" spans="1:9" x14ac:dyDescent="0.3">
      <c r="A55" s="179" t="s">
        <v>371</v>
      </c>
      <c r="B55" s="180" t="s">
        <v>342</v>
      </c>
      <c r="C55" s="7"/>
      <c r="D55" s="189" t="s">
        <v>395</v>
      </c>
      <c r="H55" s="5"/>
      <c r="I55"/>
    </row>
    <row r="56" spans="1:9" x14ac:dyDescent="0.3">
      <c r="A56" s="182" t="s">
        <v>329</v>
      </c>
      <c r="B56" s="180" t="s">
        <v>343</v>
      </c>
      <c r="C56" s="7"/>
      <c r="D56" s="189" t="s">
        <v>396</v>
      </c>
      <c r="H56" s="5"/>
      <c r="I56"/>
    </row>
    <row r="57" spans="1:9" x14ac:dyDescent="0.3">
      <c r="A57" s="179" t="s">
        <v>372</v>
      </c>
      <c r="B57" s="180" t="s">
        <v>344</v>
      </c>
      <c r="C57" s="7"/>
      <c r="D57" s="189" t="s">
        <v>397</v>
      </c>
      <c r="H57" s="5"/>
      <c r="I57"/>
    </row>
    <row r="58" spans="1:9" x14ac:dyDescent="0.3">
      <c r="A58" s="179" t="s">
        <v>373</v>
      </c>
      <c r="B58" s="180" t="s">
        <v>345</v>
      </c>
      <c r="C58" s="7"/>
      <c r="D58" s="189" t="s">
        <v>398</v>
      </c>
      <c r="H58" s="5"/>
      <c r="I58"/>
    </row>
    <row r="59" spans="1:9" x14ac:dyDescent="0.3">
      <c r="A59" s="179" t="s">
        <v>374</v>
      </c>
      <c r="B59" s="180" t="s">
        <v>346</v>
      </c>
      <c r="C59" s="7"/>
      <c r="D59" s="189" t="s">
        <v>399</v>
      </c>
      <c r="H59" s="5"/>
      <c r="I59"/>
    </row>
    <row r="60" spans="1:9" x14ac:dyDescent="0.3">
      <c r="A60" s="179" t="s">
        <v>375</v>
      </c>
      <c r="B60" s="180" t="s">
        <v>347</v>
      </c>
      <c r="C60" s="7"/>
      <c r="D60" s="189" t="s">
        <v>400</v>
      </c>
      <c r="H60" s="5"/>
      <c r="I60"/>
    </row>
    <row r="61" spans="1:9" x14ac:dyDescent="0.3">
      <c r="A61" s="179" t="s">
        <v>376</v>
      </c>
      <c r="B61" s="180" t="s">
        <v>348</v>
      </c>
      <c r="C61" s="7"/>
      <c r="D61" s="189" t="s">
        <v>401</v>
      </c>
      <c r="H61" s="5"/>
      <c r="I61"/>
    </row>
    <row r="62" spans="1:9" ht="19.5" thickBot="1" x14ac:dyDescent="0.35">
      <c r="A62" s="185" t="s">
        <v>377</v>
      </c>
      <c r="B62" s="183" t="s">
        <v>349</v>
      </c>
      <c r="C62" s="7"/>
      <c r="D62" s="189" t="s">
        <v>402</v>
      </c>
      <c r="H62" s="5"/>
      <c r="I62"/>
    </row>
    <row r="63" spans="1:9" x14ac:dyDescent="0.3">
      <c r="A63" s="186"/>
      <c r="B63" s="183" t="s">
        <v>350</v>
      </c>
      <c r="C63" s="7"/>
      <c r="D63" s="189" t="s">
        <v>403</v>
      </c>
      <c r="H63" s="5"/>
      <c r="I63"/>
    </row>
    <row r="64" spans="1:9" x14ac:dyDescent="0.3">
      <c r="A64" s="187"/>
      <c r="B64" s="183" t="s">
        <v>351</v>
      </c>
      <c r="C64" s="7"/>
      <c r="D64" s="189" t="s">
        <v>404</v>
      </c>
      <c r="H64" s="5"/>
      <c r="I64"/>
    </row>
    <row r="65" spans="1:9" x14ac:dyDescent="0.3">
      <c r="A65" s="187"/>
      <c r="B65" s="183" t="s">
        <v>352</v>
      </c>
      <c r="C65" s="7"/>
      <c r="D65" s="189" t="s">
        <v>405</v>
      </c>
      <c r="H65" s="5"/>
      <c r="I65"/>
    </row>
    <row r="66" spans="1:9" x14ac:dyDescent="0.3">
      <c r="A66" s="187"/>
      <c r="B66" s="183" t="s">
        <v>353</v>
      </c>
      <c r="C66" s="7"/>
      <c r="D66" s="189" t="s">
        <v>406</v>
      </c>
      <c r="H66" s="5"/>
      <c r="I66"/>
    </row>
    <row r="67" spans="1:9" x14ac:dyDescent="0.3">
      <c r="A67" s="187"/>
      <c r="B67" s="183" t="s">
        <v>354</v>
      </c>
      <c r="C67" s="7"/>
      <c r="D67" s="189" t="s">
        <v>407</v>
      </c>
      <c r="H67" s="5"/>
      <c r="I67"/>
    </row>
    <row r="68" spans="1:9" ht="19.5" thickBot="1" x14ac:dyDescent="0.35">
      <c r="A68" s="187"/>
      <c r="B68" s="183" t="s">
        <v>355</v>
      </c>
      <c r="C68" s="7"/>
      <c r="D68" s="190" t="s">
        <v>408</v>
      </c>
      <c r="H68" s="5"/>
      <c r="I68"/>
    </row>
    <row r="69" spans="1:9" x14ac:dyDescent="0.3">
      <c r="A69" s="187"/>
      <c r="B69" s="183" t="s">
        <v>356</v>
      </c>
      <c r="C69" s="7"/>
      <c r="D69" s="8"/>
      <c r="H69" s="5"/>
      <c r="I69"/>
    </row>
    <row r="70" spans="1:9" x14ac:dyDescent="0.3">
      <c r="A70" s="187"/>
      <c r="B70" s="183" t="s">
        <v>357</v>
      </c>
      <c r="C70" s="7"/>
      <c r="D70" s="8"/>
      <c r="H70" s="5"/>
      <c r="I70"/>
    </row>
    <row r="71" spans="1:9" x14ac:dyDescent="0.3">
      <c r="A71" s="187"/>
      <c r="B71" s="183" t="s">
        <v>358</v>
      </c>
      <c r="C71" s="7"/>
      <c r="D71" s="8"/>
      <c r="H71" s="5"/>
      <c r="I71"/>
    </row>
    <row r="72" spans="1:9" x14ac:dyDescent="0.3">
      <c r="A72" s="187"/>
      <c r="B72" s="183" t="s">
        <v>359</v>
      </c>
      <c r="C72" s="7"/>
      <c r="D72" s="8"/>
      <c r="H72" s="5"/>
      <c r="I72"/>
    </row>
    <row r="73" spans="1:9" x14ac:dyDescent="0.3">
      <c r="A73" s="187"/>
      <c r="B73" s="183" t="s">
        <v>360</v>
      </c>
      <c r="C73" s="7"/>
      <c r="D73" s="8"/>
      <c r="H73" s="5"/>
      <c r="I73"/>
    </row>
    <row r="74" spans="1:9" ht="19.5" thickBot="1" x14ac:dyDescent="0.35">
      <c r="A74" s="187"/>
      <c r="B74" s="184" t="s">
        <v>361</v>
      </c>
      <c r="C74" s="7"/>
      <c r="D74" s="8"/>
      <c r="H74" s="5"/>
      <c r="I74"/>
    </row>
    <row r="75" spans="1:9" ht="19.5" thickBot="1" x14ac:dyDescent="0.35">
      <c r="A75" s="188"/>
      <c r="C75" s="7"/>
      <c r="D75" s="8"/>
      <c r="H75" s="5"/>
      <c r="I75"/>
    </row>
    <row r="76" spans="1:9" x14ac:dyDescent="0.3">
      <c r="C76" s="7"/>
      <c r="D76" s="8"/>
      <c r="H76" s="5"/>
      <c r="I76"/>
    </row>
    <row r="77" spans="1:9" x14ac:dyDescent="0.3">
      <c r="C77" s="7"/>
      <c r="D77" s="8"/>
      <c r="H77" s="5"/>
      <c r="I77"/>
    </row>
    <row r="78" spans="1:9" x14ac:dyDescent="0.3">
      <c r="C78" s="7"/>
      <c r="D78" s="8"/>
      <c r="H78" s="5"/>
      <c r="I78"/>
    </row>
    <row r="79" spans="1:9" x14ac:dyDescent="0.3">
      <c r="C79" s="7"/>
      <c r="D79" s="8"/>
      <c r="H79" s="5"/>
      <c r="I79"/>
    </row>
    <row r="80" spans="1:9" x14ac:dyDescent="0.3">
      <c r="C80" s="7"/>
      <c r="D80" s="8"/>
      <c r="I80"/>
    </row>
    <row r="81" spans="3:9" x14ac:dyDescent="0.3">
      <c r="C81" s="7"/>
      <c r="D81" s="8"/>
      <c r="I81"/>
    </row>
    <row r="82" spans="3:9" x14ac:dyDescent="0.3">
      <c r="C82" s="7"/>
      <c r="D82" s="8"/>
      <c r="I82"/>
    </row>
    <row r="83" spans="3:9" x14ac:dyDescent="0.3">
      <c r="C83" s="7"/>
      <c r="D83" s="8"/>
      <c r="I83"/>
    </row>
    <row r="84" spans="3:9" x14ac:dyDescent="0.3">
      <c r="C84" s="7"/>
      <c r="I84"/>
    </row>
    <row r="85" spans="3:9" x14ac:dyDescent="0.3">
      <c r="C85" s="7"/>
      <c r="I85"/>
    </row>
  </sheetData>
  <mergeCells count="26">
    <mergeCell ref="A1:B1"/>
    <mergeCell ref="D1:H1"/>
    <mergeCell ref="E12:H12"/>
    <mergeCell ref="A33:B33"/>
    <mergeCell ref="D7:H7"/>
    <mergeCell ref="D2:H2"/>
    <mergeCell ref="D5:H5"/>
    <mergeCell ref="D6:H6"/>
    <mergeCell ref="D3:H3"/>
    <mergeCell ref="A2:B2"/>
    <mergeCell ref="A14:B14"/>
    <mergeCell ref="E13:G13"/>
    <mergeCell ref="E11:H11"/>
    <mergeCell ref="A27:B27"/>
    <mergeCell ref="E14:H14"/>
    <mergeCell ref="E15:H15"/>
    <mergeCell ref="D4:H4"/>
    <mergeCell ref="E8:H8"/>
    <mergeCell ref="E9:H9"/>
    <mergeCell ref="D10:H10"/>
    <mergeCell ref="A42:B42"/>
    <mergeCell ref="D37:D38"/>
    <mergeCell ref="D18:H18"/>
    <mergeCell ref="E16:H17"/>
    <mergeCell ref="A19:B19"/>
    <mergeCell ref="A24:B24"/>
  </mergeCells>
  <hyperlinks>
    <hyperlink ref="D13" r:id="rId1" display="Drop Out Rate"/>
    <hyperlink ref="D16:D17" r:id="rId2" display="Top Growth Industry:"/>
    <hyperlink ref="D9" r:id="rId3"/>
    <hyperlink ref="D14:D15" r:id="rId4" display="Number with HS degree (of population)"/>
    <hyperlink ref="D8" r:id="rId5"/>
    <hyperlink ref="D3:H3" r:id="rId6" display="see TEGL 17-05 attachment A on the Common Measures Tab"/>
    <hyperlink ref="D16" r:id="rId7"/>
    <hyperlink ref="D17" r:id="rId8"/>
    <hyperlink ref="D11" r:id="rId9"/>
    <hyperlink ref="D12" r:id="rId10"/>
  </hyperlinks>
  <pageMargins left="0.25" right="0.25" top="0.22" bottom="0.45" header="0.3" footer="0.3"/>
  <pageSetup scale="31" orientation="landscape" r:id="rId11"/>
  <drawing r:id="rId12"/>
  <legacyDrawing r:id="rId13"/>
  <oleObjects>
    <mc:AlternateContent xmlns:mc="http://schemas.openxmlformats.org/markup-compatibility/2006">
      <mc:Choice Requires="x14">
        <oleObject progId="AcroExch.Document.7" shapeId="7170" r:id="rId14">
          <objectPr defaultSize="0" autoPict="0" r:id="rId15">
            <anchor moveWithCells="1">
              <from>
                <xdr:col>9</xdr:col>
                <xdr:colOff>285750</xdr:colOff>
                <xdr:row>0</xdr:row>
                <xdr:rowOff>28575</xdr:rowOff>
              </from>
              <to>
                <xdr:col>17</xdr:col>
                <xdr:colOff>695325</xdr:colOff>
                <xdr:row>20</xdr:row>
                <xdr:rowOff>76200</xdr:rowOff>
              </to>
            </anchor>
          </objectPr>
        </oleObject>
      </mc:Choice>
      <mc:Fallback>
        <oleObject progId="AcroExch.Document.7" shapeId="7170" r:id="rId1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M29"/>
  <sheetViews>
    <sheetView zoomScale="80" zoomScaleNormal="80" workbookViewId="0">
      <selection activeCell="D24" sqref="D24"/>
    </sheetView>
  </sheetViews>
  <sheetFormatPr defaultRowHeight="18.75" x14ac:dyDescent="0.3"/>
  <cols>
    <col min="1" max="1" width="13.09765625" customWidth="1"/>
    <col min="2" max="2" width="13.8984375" customWidth="1"/>
    <col min="3" max="3" width="16.19921875" customWidth="1"/>
    <col min="4" max="4" width="18.3984375" customWidth="1"/>
    <col min="5" max="5" width="14.8984375" customWidth="1"/>
    <col min="6" max="6" width="18.8984375" customWidth="1"/>
    <col min="7" max="7" width="19.69921875" customWidth="1"/>
    <col min="8" max="8" width="27" customWidth="1"/>
    <col min="9" max="9" width="13.19921875" customWidth="1"/>
    <col min="10" max="10" width="14.3984375" customWidth="1"/>
    <col min="11" max="11" width="8.3984375" customWidth="1"/>
    <col min="12" max="12" width="10.3984375" customWidth="1"/>
    <col min="13" max="13" width="9.3984375" customWidth="1"/>
  </cols>
  <sheetData>
    <row r="1" spans="1:13" ht="23.25" x14ac:dyDescent="0.35">
      <c r="A1" s="643" t="s">
        <v>600</v>
      </c>
      <c r="B1" s="643"/>
      <c r="C1" s="643"/>
      <c r="D1" s="643"/>
      <c r="E1" s="643"/>
    </row>
    <row r="2" spans="1:13" x14ac:dyDescent="0.3">
      <c r="A2" s="110" t="s">
        <v>153</v>
      </c>
    </row>
    <row r="3" spans="1:13" x14ac:dyDescent="0.3">
      <c r="A3" s="193" t="s">
        <v>269</v>
      </c>
      <c r="B3" s="193" t="s">
        <v>270</v>
      </c>
      <c r="C3" s="193" t="s">
        <v>662</v>
      </c>
      <c r="D3" s="193" t="s">
        <v>661</v>
      </c>
      <c r="E3" s="193" t="s">
        <v>271</v>
      </c>
      <c r="F3" s="193" t="s">
        <v>272</v>
      </c>
      <c r="G3" s="193" t="s">
        <v>273</v>
      </c>
      <c r="H3" s="193" t="s">
        <v>274</v>
      </c>
      <c r="I3" s="193" t="s">
        <v>275</v>
      </c>
      <c r="J3" s="193" t="s">
        <v>276</v>
      </c>
      <c r="K3" s="193" t="s">
        <v>578</v>
      </c>
      <c r="L3" s="193" t="s">
        <v>579</v>
      </c>
      <c r="M3" s="193" t="s">
        <v>580</v>
      </c>
    </row>
    <row r="4" spans="1:13" x14ac:dyDescent="0.3">
      <c r="A4" s="111">
        <v>178793</v>
      </c>
      <c r="B4" s="111">
        <v>77661</v>
      </c>
      <c r="C4" s="111">
        <v>26793</v>
      </c>
      <c r="D4" s="111">
        <v>63917</v>
      </c>
      <c r="E4" s="111">
        <v>101132</v>
      </c>
      <c r="F4" s="111">
        <v>88089</v>
      </c>
      <c r="G4" s="111">
        <v>10255</v>
      </c>
      <c r="H4" s="111">
        <v>2788</v>
      </c>
      <c r="I4" s="111">
        <v>8302</v>
      </c>
      <c r="J4" s="111">
        <v>3806</v>
      </c>
      <c r="K4" s="111">
        <v>51011</v>
      </c>
      <c r="L4" s="111">
        <v>9756</v>
      </c>
      <c r="M4" s="111">
        <v>6455</v>
      </c>
    </row>
    <row r="6" spans="1:13" ht="23.25" x14ac:dyDescent="0.35">
      <c r="A6" s="643" t="s">
        <v>601</v>
      </c>
      <c r="B6" s="643"/>
      <c r="C6" s="643"/>
      <c r="D6" s="643"/>
      <c r="E6" s="643"/>
      <c r="F6" s="643"/>
      <c r="G6" s="643"/>
      <c r="H6" s="643"/>
    </row>
    <row r="7" spans="1:13" x14ac:dyDescent="0.3">
      <c r="A7" s="110" t="s">
        <v>153</v>
      </c>
    </row>
    <row r="8" spans="1:13" x14ac:dyDescent="0.3">
      <c r="A8" s="193" t="s">
        <v>581</v>
      </c>
      <c r="B8" s="193" t="s">
        <v>584</v>
      </c>
      <c r="C8" s="193" t="s">
        <v>582</v>
      </c>
      <c r="D8" s="193" t="s">
        <v>583</v>
      </c>
    </row>
    <row r="9" spans="1:13" x14ac:dyDescent="0.3">
      <c r="A9" s="111">
        <v>70547</v>
      </c>
      <c r="B9" s="111">
        <v>35421</v>
      </c>
      <c r="C9" s="111">
        <v>6450</v>
      </c>
      <c r="D9" s="111">
        <v>1927</v>
      </c>
    </row>
    <row r="11" spans="1:13" ht="23.25" x14ac:dyDescent="0.35">
      <c r="A11" s="643" t="s">
        <v>602</v>
      </c>
      <c r="B11" s="643"/>
      <c r="C11" s="643"/>
    </row>
    <row r="12" spans="1:13" x14ac:dyDescent="0.3">
      <c r="A12" s="110" t="s">
        <v>153</v>
      </c>
    </row>
    <row r="13" spans="1:13" x14ac:dyDescent="0.3">
      <c r="A13" s="193" t="s">
        <v>155</v>
      </c>
      <c r="B13" s="193" t="s">
        <v>156</v>
      </c>
      <c r="C13" s="193" t="s">
        <v>157</v>
      </c>
      <c r="D13" s="193" t="s">
        <v>160</v>
      </c>
      <c r="E13" s="193" t="s">
        <v>159</v>
      </c>
      <c r="F13" s="193" t="s">
        <v>158</v>
      </c>
      <c r="G13" s="193" t="s">
        <v>161</v>
      </c>
      <c r="H13" s="193" t="s">
        <v>162</v>
      </c>
    </row>
    <row r="14" spans="1:13" x14ac:dyDescent="0.3">
      <c r="A14" s="111">
        <v>18768</v>
      </c>
      <c r="B14" s="111">
        <v>21665</v>
      </c>
      <c r="C14" s="111">
        <v>9544</v>
      </c>
      <c r="D14" s="111">
        <v>11139</v>
      </c>
      <c r="E14" s="111">
        <v>1705</v>
      </c>
      <c r="F14" s="111">
        <v>1528</v>
      </c>
      <c r="G14" s="111">
        <v>2003</v>
      </c>
      <c r="H14" s="111">
        <v>5022</v>
      </c>
    </row>
    <row r="16" spans="1:13" ht="23.25" x14ac:dyDescent="0.35">
      <c r="A16" s="643" t="s">
        <v>586</v>
      </c>
      <c r="B16" s="643"/>
      <c r="C16" s="643"/>
      <c r="D16" s="643"/>
    </row>
    <row r="17" spans="1:8" x14ac:dyDescent="0.3">
      <c r="A17" s="110" t="s">
        <v>153</v>
      </c>
    </row>
    <row r="18" spans="1:8" x14ac:dyDescent="0.3">
      <c r="A18" s="193" t="s">
        <v>587</v>
      </c>
      <c r="B18" s="193" t="s">
        <v>588</v>
      </c>
      <c r="C18" s="193" t="s">
        <v>591</v>
      </c>
      <c r="D18" s="193" t="s">
        <v>589</v>
      </c>
      <c r="E18" s="193" t="s">
        <v>592</v>
      </c>
      <c r="F18" s="193" t="s">
        <v>590</v>
      </c>
      <c r="G18" s="193" t="s">
        <v>593</v>
      </c>
      <c r="H18" s="193" t="s">
        <v>594</v>
      </c>
    </row>
    <row r="19" spans="1:8" x14ac:dyDescent="0.3">
      <c r="A19" s="111">
        <v>6396</v>
      </c>
      <c r="B19" s="111">
        <v>7751</v>
      </c>
      <c r="C19" s="111">
        <v>5098</v>
      </c>
      <c r="D19" s="111">
        <v>6634</v>
      </c>
      <c r="E19" s="111">
        <v>14655</v>
      </c>
      <c r="F19" s="111">
        <v>15984</v>
      </c>
      <c r="G19" s="111">
        <v>31809</v>
      </c>
      <c r="H19" s="111">
        <v>27540</v>
      </c>
    </row>
    <row r="21" spans="1:8" ht="23.25" x14ac:dyDescent="0.35">
      <c r="A21" s="643" t="s">
        <v>595</v>
      </c>
      <c r="B21" s="643"/>
      <c r="C21" s="643"/>
    </row>
    <row r="22" spans="1:8" x14ac:dyDescent="0.3">
      <c r="A22" s="110" t="s">
        <v>153</v>
      </c>
    </row>
    <row r="23" spans="1:8" x14ac:dyDescent="0.3">
      <c r="A23" s="193" t="s">
        <v>314</v>
      </c>
      <c r="B23" s="193" t="s">
        <v>315</v>
      </c>
      <c r="C23" s="193" t="s">
        <v>564</v>
      </c>
      <c r="D23" s="193" t="s">
        <v>409</v>
      </c>
      <c r="E23" s="193" t="s">
        <v>565</v>
      </c>
      <c r="F23" s="193" t="s">
        <v>316</v>
      </c>
      <c r="G23" s="193" t="s">
        <v>603</v>
      </c>
      <c r="H23" s="193" t="s">
        <v>604</v>
      </c>
    </row>
    <row r="24" spans="1:8" x14ac:dyDescent="0.3">
      <c r="A24" s="111">
        <v>4944</v>
      </c>
      <c r="B24" s="111">
        <v>6879</v>
      </c>
      <c r="C24" s="111">
        <v>10.766464351716676</v>
      </c>
      <c r="D24" s="111">
        <v>10.35</v>
      </c>
      <c r="E24" s="111">
        <v>11.000742380828223</v>
      </c>
      <c r="F24" s="111">
        <v>10.37</v>
      </c>
      <c r="G24" s="111">
        <v>5065</v>
      </c>
      <c r="H24" s="111">
        <v>4058</v>
      </c>
    </row>
    <row r="26" spans="1:8" ht="23.25" x14ac:dyDescent="0.35">
      <c r="A26" s="643" t="s">
        <v>80</v>
      </c>
      <c r="B26" s="643"/>
      <c r="C26" s="643"/>
      <c r="D26" s="643"/>
    </row>
    <row r="27" spans="1:8" x14ac:dyDescent="0.3">
      <c r="A27" s="110" t="s">
        <v>153</v>
      </c>
    </row>
    <row r="28" spans="1:8" x14ac:dyDescent="0.3">
      <c r="A28" s="193" t="s">
        <v>242</v>
      </c>
      <c r="B28" s="193" t="s">
        <v>598</v>
      </c>
      <c r="C28" s="193" t="s">
        <v>240</v>
      </c>
      <c r="D28" s="193" t="s">
        <v>241</v>
      </c>
      <c r="E28" s="193" t="s">
        <v>599</v>
      </c>
    </row>
    <row r="29" spans="1:8" x14ac:dyDescent="0.3">
      <c r="A29" s="111">
        <v>14.029634507737899</v>
      </c>
      <c r="B29" s="111">
        <v>70524</v>
      </c>
      <c r="C29" s="111">
        <v>17401.650000000001</v>
      </c>
      <c r="D29" s="111">
        <v>20047</v>
      </c>
      <c r="E29" s="111">
        <v>205597</v>
      </c>
    </row>
  </sheetData>
  <mergeCells count="6">
    <mergeCell ref="A26:D26"/>
    <mergeCell ref="A1:E1"/>
    <mergeCell ref="A6:H6"/>
    <mergeCell ref="A11:C11"/>
    <mergeCell ref="A16:D16"/>
    <mergeCell ref="A21:C21"/>
  </mergeCells>
  <pageMargins left="0.7" right="0.7" top="0.75" bottom="0.75" header="0.3" footer="0.3"/>
  <pageSetup orientation="portrait"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N106"/>
  <sheetViews>
    <sheetView topLeftCell="A49" workbookViewId="0">
      <selection activeCell="C61" sqref="C61"/>
    </sheetView>
  </sheetViews>
  <sheetFormatPr defaultRowHeight="18.75" x14ac:dyDescent="0.3"/>
  <cols>
    <col min="1" max="1" width="11.296875" customWidth="1"/>
    <col min="2" max="2" width="41" customWidth="1"/>
    <col min="3" max="3" width="48.796875" customWidth="1"/>
    <col min="4" max="4" width="46.8984375" bestFit="1" customWidth="1"/>
    <col min="5" max="5" width="52" bestFit="1" customWidth="1"/>
    <col min="6" max="6" width="37.09765625" customWidth="1"/>
    <col min="7" max="7" width="42.19921875" customWidth="1"/>
    <col min="8" max="8" width="10.796875" customWidth="1"/>
    <col min="9" max="9" width="15.796875" customWidth="1"/>
    <col min="10" max="10" width="13.09765625" customWidth="1"/>
    <col min="11" max="11" width="14.296875" customWidth="1"/>
    <col min="12" max="12" width="8.3984375" customWidth="1"/>
    <col min="13" max="13" width="10.19921875" customWidth="1"/>
    <col min="14" max="14" width="9.296875" customWidth="1"/>
    <col min="15" max="15" width="4.8984375" customWidth="1"/>
    <col min="16" max="16" width="3.8984375" customWidth="1"/>
    <col min="17" max="19" width="4.8984375" customWidth="1"/>
    <col min="20" max="20" width="3.8984375" customWidth="1"/>
    <col min="21" max="22" width="4.8984375" customWidth="1"/>
    <col min="23" max="23" width="2.8984375" customWidth="1"/>
    <col min="24" max="24" width="5.8984375" customWidth="1"/>
    <col min="25" max="25" width="4.8984375" customWidth="1"/>
    <col min="26" max="28" width="5.8984375" customWidth="1"/>
    <col min="29" max="29" width="4.8984375" customWidth="1"/>
    <col min="30" max="30" width="5.8984375" customWidth="1"/>
    <col min="31" max="31" width="4.8984375" customWidth="1"/>
    <col min="32" max="41" width="5.8984375" customWidth="1"/>
    <col min="42" max="42" width="4.8984375" customWidth="1"/>
    <col min="43" max="44" width="5.8984375" customWidth="1"/>
    <col min="45" max="45" width="4.8984375" customWidth="1"/>
    <col min="46" max="50" width="5.8984375" customWidth="1"/>
    <col min="51" max="51" width="4.8984375" customWidth="1"/>
    <col min="52" max="54" width="5.8984375" customWidth="1"/>
    <col min="55" max="55" width="2.8984375" customWidth="1"/>
    <col min="56" max="57" width="5.8984375" customWidth="1"/>
    <col min="58" max="58" width="4.8984375" customWidth="1"/>
    <col min="59" max="63" width="5.8984375" customWidth="1"/>
    <col min="64" max="64" width="4.8984375" customWidth="1"/>
    <col min="65" max="65" width="5.8984375" customWidth="1"/>
    <col min="66" max="66" width="4.8984375" customWidth="1"/>
    <col min="67" max="70" width="5.8984375" customWidth="1"/>
    <col min="71" max="71" width="4.8984375" customWidth="1"/>
    <col min="72" max="79" width="5.8984375" customWidth="1"/>
    <col min="80" max="80" width="2.8984375" customWidth="1"/>
    <col min="81" max="83" width="5.8984375" customWidth="1"/>
    <col min="84" max="84" width="4.8984375" customWidth="1"/>
    <col min="85" max="90" width="5.8984375" customWidth="1"/>
    <col min="91" max="91" width="4.8984375" customWidth="1"/>
    <col min="92" max="92" width="5.8984375" customWidth="1"/>
    <col min="93" max="93" width="4.8984375" customWidth="1"/>
    <col min="94" max="104" width="5.8984375" customWidth="1"/>
    <col min="105" max="105" width="2.8984375" customWidth="1"/>
    <col min="106" max="116" width="5.8984375" customWidth="1"/>
    <col min="117" max="117" width="4.8984375" customWidth="1"/>
    <col min="118" max="121" width="5.8984375" customWidth="1"/>
    <col min="122" max="122" width="4.8984375" customWidth="1"/>
    <col min="123" max="127" width="5.8984375" customWidth="1"/>
    <col min="128" max="128" width="2.8984375" customWidth="1"/>
    <col min="129" max="132" width="5.8984375" customWidth="1"/>
    <col min="133" max="133" width="4.8984375" customWidth="1"/>
    <col min="134" max="135" width="5.8984375" customWidth="1"/>
    <col min="136" max="136" width="4.8984375" customWidth="1"/>
    <col min="137" max="138" width="5.8984375" customWidth="1"/>
    <col min="139" max="139" width="2.8984375" customWidth="1"/>
    <col min="140" max="141" width="5.8984375" customWidth="1"/>
    <col min="142" max="142" width="4.8984375" customWidth="1"/>
    <col min="143" max="145" width="5.8984375" customWidth="1"/>
    <col min="146" max="146" width="4.8984375" customWidth="1"/>
    <col min="147" max="147" width="5.8984375" customWidth="1"/>
    <col min="148" max="148" width="4.8984375" customWidth="1"/>
    <col min="149" max="150" width="5.8984375" customWidth="1"/>
    <col min="151" max="151" width="2.8984375" customWidth="1"/>
    <col min="152" max="158" width="5.8984375" customWidth="1"/>
    <col min="159" max="159" width="4.8984375" customWidth="1"/>
    <col min="160" max="163" width="5.8984375" customWidth="1"/>
    <col min="164" max="164" width="2.8984375" customWidth="1"/>
    <col min="165" max="165" width="4.8984375" customWidth="1"/>
    <col min="166" max="166" width="5.8984375" customWidth="1"/>
    <col min="167" max="167" width="4.8984375" customWidth="1"/>
    <col min="168" max="168" width="5.8984375" customWidth="1"/>
    <col min="169" max="171" width="4.8984375" customWidth="1"/>
    <col min="172" max="172" width="2.8984375" customWidth="1"/>
    <col min="173" max="176" width="5.8984375" customWidth="1"/>
    <col min="177" max="177" width="4.8984375" customWidth="1"/>
    <col min="178" max="178" width="5.8984375" customWidth="1"/>
    <col min="179" max="179" width="2.8984375" customWidth="1"/>
    <col min="180" max="183" width="5.8984375" customWidth="1"/>
    <col min="184" max="185" width="4.8984375" customWidth="1"/>
    <col min="186" max="187" width="5.8984375" customWidth="1"/>
    <col min="188" max="188" width="2.8984375" customWidth="1"/>
    <col min="189" max="189" width="4.8984375" customWidth="1"/>
    <col min="190" max="190" width="5.8984375" customWidth="1"/>
    <col min="191" max="192" width="4.8984375" customWidth="1"/>
    <col min="193" max="193" width="5.8984375" customWidth="1"/>
    <col min="194" max="194" width="2.8984375" customWidth="1"/>
    <col min="195" max="195" width="5.8984375" customWidth="1"/>
    <col min="196" max="196" width="4.8984375" customWidth="1"/>
    <col min="197" max="197" width="5.8984375" customWidth="1"/>
    <col min="198" max="198" width="2.8984375" customWidth="1"/>
    <col min="199" max="201" width="5.8984375" customWidth="1"/>
    <col min="202" max="202" width="2.8984375" customWidth="1"/>
    <col min="203" max="204" width="5.8984375" customWidth="1"/>
    <col min="205" max="205" width="2.8984375" customWidth="1"/>
    <col min="206" max="209" width="5.8984375" customWidth="1"/>
    <col min="210" max="210" width="2.8984375" customWidth="1"/>
    <col min="211" max="211" width="4.8984375" customWidth="1"/>
    <col min="212" max="213" width="5.8984375" customWidth="1"/>
    <col min="214" max="214" width="2.8984375" customWidth="1"/>
    <col min="215" max="215" width="5.8984375" customWidth="1"/>
    <col min="216" max="216" width="2.8984375" customWidth="1"/>
    <col min="217" max="217" width="5.8984375" customWidth="1"/>
    <col min="218" max="218" width="2.8984375" customWidth="1"/>
    <col min="219" max="221" width="5.8984375" customWidth="1"/>
    <col min="222" max="222" width="3.8984375" customWidth="1"/>
    <col min="223" max="223" width="10.09765625" customWidth="1"/>
    <col min="224" max="224" width="5.8984375" customWidth="1"/>
    <col min="225" max="225" width="3.8984375" customWidth="1"/>
    <col min="226" max="226" width="10.09765625" customWidth="1"/>
    <col min="227" max="227" width="26" bestFit="1" customWidth="1"/>
    <col min="228" max="228" width="16.3984375" customWidth="1"/>
    <col min="229" max="229" width="26" bestFit="1" customWidth="1"/>
    <col min="230" max="230" width="16.3984375" customWidth="1"/>
    <col min="231" max="231" width="26" bestFit="1" customWidth="1"/>
    <col min="232" max="232" width="16.3984375" customWidth="1"/>
    <col min="233" max="233" width="26" bestFit="1" customWidth="1"/>
    <col min="234" max="234" width="16.3984375" customWidth="1"/>
    <col min="235" max="235" width="26" bestFit="1" customWidth="1"/>
    <col min="236" max="236" width="16.3984375" customWidth="1"/>
    <col min="237" max="237" width="26" bestFit="1" customWidth="1"/>
    <col min="238" max="238" width="16.3984375" customWidth="1"/>
    <col min="239" max="239" width="26" bestFit="1" customWidth="1"/>
    <col min="240" max="240" width="16.3984375" customWidth="1"/>
    <col min="241" max="241" width="26" bestFit="1" customWidth="1"/>
    <col min="242" max="242" width="16.3984375" customWidth="1"/>
    <col min="243" max="243" width="26" bestFit="1" customWidth="1"/>
    <col min="244" max="244" width="16.3984375" customWidth="1"/>
    <col min="245" max="245" width="26" bestFit="1" customWidth="1"/>
    <col min="246" max="246" width="16.3984375" customWidth="1"/>
    <col min="247" max="247" width="26" bestFit="1" customWidth="1"/>
    <col min="248" max="248" width="16.3984375" customWidth="1"/>
    <col min="249" max="249" width="26" bestFit="1" customWidth="1"/>
    <col min="250" max="250" width="16.3984375" customWidth="1"/>
    <col min="251" max="251" width="26" bestFit="1" customWidth="1"/>
    <col min="252" max="252" width="16.3984375" customWidth="1"/>
    <col min="253" max="253" width="26" bestFit="1" customWidth="1"/>
    <col min="254" max="254" width="16.3984375" customWidth="1"/>
    <col min="255" max="255" width="26" bestFit="1" customWidth="1"/>
    <col min="256" max="256" width="16.3984375" customWidth="1"/>
    <col min="257" max="257" width="26" bestFit="1" customWidth="1"/>
    <col min="258" max="258" width="16.3984375" customWidth="1"/>
    <col min="259" max="259" width="26" bestFit="1" customWidth="1"/>
    <col min="260" max="260" width="16.3984375" customWidth="1"/>
    <col min="261" max="261" width="26" bestFit="1" customWidth="1"/>
    <col min="262" max="262" width="16.3984375" customWidth="1"/>
    <col min="263" max="263" width="26" bestFit="1" customWidth="1"/>
    <col min="264" max="264" width="16.3984375" customWidth="1"/>
    <col min="265" max="265" width="26" bestFit="1" customWidth="1"/>
    <col min="266" max="266" width="16.3984375" customWidth="1"/>
    <col min="267" max="267" width="26" bestFit="1" customWidth="1"/>
    <col min="268" max="268" width="16.3984375" customWidth="1"/>
    <col min="269" max="269" width="26" bestFit="1" customWidth="1"/>
    <col min="270" max="270" width="16.3984375" customWidth="1"/>
    <col min="271" max="271" width="26" bestFit="1" customWidth="1"/>
    <col min="272" max="272" width="16.3984375" customWidth="1"/>
    <col min="273" max="273" width="26" bestFit="1" customWidth="1"/>
    <col min="274" max="274" width="16.3984375" customWidth="1"/>
    <col min="275" max="275" width="26" bestFit="1" customWidth="1"/>
    <col min="276" max="276" width="16.3984375" customWidth="1"/>
    <col min="277" max="277" width="26" bestFit="1" customWidth="1"/>
    <col min="278" max="278" width="16.3984375" customWidth="1"/>
    <col min="279" max="279" width="26" bestFit="1" customWidth="1"/>
    <col min="280" max="280" width="16.3984375" customWidth="1"/>
    <col min="281" max="281" width="26" bestFit="1" customWidth="1"/>
    <col min="282" max="282" width="16.3984375" customWidth="1"/>
    <col min="283" max="283" width="26" bestFit="1" customWidth="1"/>
    <col min="284" max="284" width="16.3984375" customWidth="1"/>
    <col min="285" max="285" width="26" bestFit="1" customWidth="1"/>
    <col min="286" max="286" width="16.3984375" customWidth="1"/>
    <col min="287" max="287" width="26" bestFit="1" customWidth="1"/>
    <col min="288" max="288" width="16.3984375" customWidth="1"/>
    <col min="289" max="289" width="26" bestFit="1" customWidth="1"/>
    <col min="290" max="290" width="16.3984375" customWidth="1"/>
    <col min="291" max="291" width="26" bestFit="1" customWidth="1"/>
    <col min="292" max="292" width="16.3984375" customWidth="1"/>
    <col min="293" max="293" width="26" bestFit="1" customWidth="1"/>
    <col min="294" max="294" width="16.3984375" customWidth="1"/>
    <col min="295" max="295" width="26" bestFit="1" customWidth="1"/>
    <col min="296" max="296" width="16.3984375" customWidth="1"/>
    <col min="297" max="297" width="26" bestFit="1" customWidth="1"/>
    <col min="298" max="298" width="16.3984375" customWidth="1"/>
    <col min="299" max="299" width="26" bestFit="1" customWidth="1"/>
    <col min="300" max="300" width="16.3984375" customWidth="1"/>
    <col min="301" max="301" width="26" bestFit="1" customWidth="1"/>
    <col min="302" max="302" width="16.3984375" customWidth="1"/>
    <col min="303" max="303" width="26" bestFit="1" customWidth="1"/>
    <col min="304" max="304" width="16.3984375" customWidth="1"/>
    <col min="305" max="305" width="26" bestFit="1" customWidth="1"/>
    <col min="306" max="306" width="16.3984375" customWidth="1"/>
    <col min="307" max="307" width="26" bestFit="1" customWidth="1"/>
    <col min="308" max="308" width="16.3984375" customWidth="1"/>
    <col min="309" max="309" width="26" bestFit="1" customWidth="1"/>
    <col min="310" max="310" width="16.3984375" customWidth="1"/>
    <col min="311" max="311" width="26" bestFit="1" customWidth="1"/>
    <col min="312" max="312" width="16.3984375" customWidth="1"/>
    <col min="313" max="313" width="26" bestFit="1" customWidth="1"/>
    <col min="314" max="314" width="16.3984375" customWidth="1"/>
    <col min="315" max="315" width="26" bestFit="1" customWidth="1"/>
    <col min="316" max="316" width="16.3984375" customWidth="1"/>
    <col min="317" max="317" width="26" bestFit="1" customWidth="1"/>
    <col min="318" max="318" width="16.3984375" customWidth="1"/>
    <col min="319" max="319" width="26" bestFit="1" customWidth="1"/>
    <col min="320" max="320" width="16.3984375" customWidth="1"/>
    <col min="321" max="321" width="26" bestFit="1" customWidth="1"/>
    <col min="322" max="322" width="16.3984375" customWidth="1"/>
    <col min="323" max="323" width="26" bestFit="1" customWidth="1"/>
    <col min="324" max="324" width="16.3984375" customWidth="1"/>
    <col min="325" max="325" width="26" bestFit="1" customWidth="1"/>
    <col min="326" max="326" width="16.3984375" customWidth="1"/>
    <col min="327" max="327" width="26" bestFit="1" customWidth="1"/>
    <col min="328" max="328" width="16.3984375" customWidth="1"/>
    <col min="329" max="329" width="26" bestFit="1" customWidth="1"/>
    <col min="330" max="330" width="16.3984375" customWidth="1"/>
    <col min="331" max="331" width="26" bestFit="1" customWidth="1"/>
    <col min="332" max="332" width="16.3984375" customWidth="1"/>
    <col min="333" max="333" width="26" bestFit="1" customWidth="1"/>
    <col min="334" max="334" width="16.3984375" customWidth="1"/>
    <col min="335" max="335" width="26" bestFit="1" customWidth="1"/>
    <col min="336" max="336" width="16.3984375" customWidth="1"/>
    <col min="337" max="337" width="26" bestFit="1" customWidth="1"/>
    <col min="338" max="338" width="16.3984375" customWidth="1"/>
    <col min="339" max="339" width="26" bestFit="1" customWidth="1"/>
    <col min="340" max="340" width="16.3984375" customWidth="1"/>
    <col min="341" max="341" width="26" bestFit="1" customWidth="1"/>
    <col min="342" max="342" width="16.3984375" customWidth="1"/>
    <col min="343" max="343" width="26" bestFit="1" customWidth="1"/>
    <col min="344" max="344" width="16.3984375" customWidth="1"/>
    <col min="345" max="345" width="26" bestFit="1" customWidth="1"/>
    <col min="346" max="346" width="16.3984375" customWidth="1"/>
    <col min="347" max="347" width="26" bestFit="1" customWidth="1"/>
    <col min="348" max="348" width="16.3984375" customWidth="1"/>
    <col min="349" max="349" width="26" bestFit="1" customWidth="1"/>
    <col min="350" max="350" width="16.3984375" customWidth="1"/>
    <col min="351" max="351" width="26" bestFit="1" customWidth="1"/>
    <col min="352" max="352" width="16.3984375" customWidth="1"/>
    <col min="353" max="353" width="26" bestFit="1" customWidth="1"/>
    <col min="354" max="354" width="16.3984375" customWidth="1"/>
    <col min="355" max="355" width="26" bestFit="1" customWidth="1"/>
    <col min="356" max="356" width="16.3984375" customWidth="1"/>
    <col min="357" max="357" width="26" bestFit="1" customWidth="1"/>
    <col min="358" max="358" width="16.3984375" customWidth="1"/>
    <col min="359" max="359" width="26" bestFit="1" customWidth="1"/>
    <col min="360" max="360" width="16.3984375" customWidth="1"/>
    <col min="361" max="361" width="26" bestFit="1" customWidth="1"/>
    <col min="362" max="362" width="16.3984375" customWidth="1"/>
    <col min="363" max="363" width="26" bestFit="1" customWidth="1"/>
    <col min="364" max="364" width="16.3984375" customWidth="1"/>
    <col min="365" max="365" width="26" bestFit="1" customWidth="1"/>
    <col min="366" max="366" width="16.3984375" customWidth="1"/>
    <col min="367" max="367" width="26" bestFit="1" customWidth="1"/>
    <col min="368" max="368" width="16.3984375" customWidth="1"/>
    <col min="369" max="369" width="26" bestFit="1" customWidth="1"/>
    <col min="370" max="370" width="16.3984375" customWidth="1"/>
    <col min="371" max="371" width="26" bestFit="1" customWidth="1"/>
    <col min="372" max="372" width="16.3984375" customWidth="1"/>
    <col min="373" max="373" width="26" bestFit="1" customWidth="1"/>
    <col min="374" max="374" width="16.3984375" customWidth="1"/>
    <col min="375" max="375" width="26" bestFit="1" customWidth="1"/>
    <col min="376" max="376" width="16.3984375" customWidth="1"/>
    <col min="377" max="377" width="26" bestFit="1" customWidth="1"/>
    <col min="378" max="378" width="16.3984375" customWidth="1"/>
    <col min="379" max="379" width="26" bestFit="1" customWidth="1"/>
    <col min="380" max="380" width="16.3984375" customWidth="1"/>
    <col min="381" max="381" width="26" bestFit="1" customWidth="1"/>
    <col min="382" max="382" width="16.3984375" customWidth="1"/>
    <col min="383" max="383" width="26" bestFit="1" customWidth="1"/>
    <col min="384" max="384" width="16.3984375" customWidth="1"/>
    <col min="385" max="385" width="26" bestFit="1" customWidth="1"/>
    <col min="386" max="386" width="16.3984375" customWidth="1"/>
    <col min="387" max="387" width="26" bestFit="1" customWidth="1"/>
    <col min="388" max="388" width="16.3984375" customWidth="1"/>
    <col min="389" max="389" width="26" bestFit="1" customWidth="1"/>
    <col min="390" max="390" width="16.3984375" customWidth="1"/>
    <col min="391" max="391" width="26" bestFit="1" customWidth="1"/>
    <col min="392" max="392" width="16.3984375" customWidth="1"/>
    <col min="393" max="393" width="26" bestFit="1" customWidth="1"/>
    <col min="394" max="394" width="16.3984375" customWidth="1"/>
    <col min="395" max="395" width="26" bestFit="1" customWidth="1"/>
    <col min="396" max="396" width="16.3984375" customWidth="1"/>
    <col min="397" max="397" width="26" bestFit="1" customWidth="1"/>
    <col min="398" max="398" width="16.3984375" customWidth="1"/>
    <col min="399" max="399" width="26" bestFit="1" customWidth="1"/>
    <col min="400" max="400" width="16.3984375" customWidth="1"/>
    <col min="401" max="401" width="26" bestFit="1" customWidth="1"/>
    <col min="402" max="402" width="16.3984375" customWidth="1"/>
    <col min="403" max="403" width="26" bestFit="1" customWidth="1"/>
    <col min="404" max="404" width="16.3984375" customWidth="1"/>
    <col min="405" max="405" width="26" bestFit="1" customWidth="1"/>
    <col min="406" max="406" width="16.3984375" customWidth="1"/>
    <col min="407" max="407" width="26" bestFit="1" customWidth="1"/>
    <col min="408" max="408" width="16.3984375" customWidth="1"/>
    <col min="409" max="409" width="26" bestFit="1" customWidth="1"/>
    <col min="410" max="410" width="16.3984375" customWidth="1"/>
    <col min="411" max="411" width="26" bestFit="1" customWidth="1"/>
    <col min="412" max="412" width="16.3984375" customWidth="1"/>
    <col min="413" max="413" width="26" bestFit="1" customWidth="1"/>
    <col min="414" max="414" width="16.3984375" customWidth="1"/>
    <col min="415" max="415" width="26" bestFit="1" customWidth="1"/>
    <col min="416" max="416" width="16.3984375" customWidth="1"/>
    <col min="417" max="417" width="26" bestFit="1" customWidth="1"/>
    <col min="418" max="418" width="16.3984375" customWidth="1"/>
    <col min="419" max="419" width="26" bestFit="1" customWidth="1"/>
    <col min="420" max="420" width="16.3984375" customWidth="1"/>
    <col min="421" max="421" width="26" bestFit="1" customWidth="1"/>
    <col min="422" max="422" width="16.3984375" customWidth="1"/>
    <col min="423" max="423" width="26" bestFit="1" customWidth="1"/>
    <col min="424" max="424" width="16.3984375" customWidth="1"/>
    <col min="425" max="425" width="26" bestFit="1" customWidth="1"/>
    <col min="426" max="426" width="16.3984375" customWidth="1"/>
    <col min="427" max="427" width="26" bestFit="1" customWidth="1"/>
    <col min="428" max="428" width="16.3984375" customWidth="1"/>
    <col min="429" max="429" width="26" bestFit="1" customWidth="1"/>
    <col min="430" max="430" width="16.3984375" customWidth="1"/>
    <col min="431" max="431" width="26" bestFit="1" customWidth="1"/>
    <col min="432" max="432" width="16.3984375" customWidth="1"/>
    <col min="433" max="433" width="26" bestFit="1" customWidth="1"/>
    <col min="434" max="434" width="16.3984375" customWidth="1"/>
    <col min="435" max="435" width="26" bestFit="1" customWidth="1"/>
    <col min="436" max="436" width="16.3984375" customWidth="1"/>
    <col min="437" max="437" width="26" bestFit="1" customWidth="1"/>
    <col min="438" max="438" width="16.3984375" customWidth="1"/>
    <col min="439" max="439" width="26" bestFit="1" customWidth="1"/>
    <col min="440" max="440" width="16.3984375" customWidth="1"/>
    <col min="441" max="441" width="26" bestFit="1" customWidth="1"/>
    <col min="442" max="442" width="16.3984375" customWidth="1"/>
    <col min="443" max="443" width="26" bestFit="1" customWidth="1"/>
    <col min="444" max="444" width="16.3984375" customWidth="1"/>
    <col min="445" max="445" width="26" bestFit="1" customWidth="1"/>
    <col min="446" max="446" width="16.3984375" customWidth="1"/>
    <col min="447" max="447" width="26" bestFit="1" customWidth="1"/>
    <col min="448" max="448" width="16.3984375" customWidth="1"/>
    <col min="449" max="449" width="26" bestFit="1" customWidth="1"/>
    <col min="450" max="450" width="16.3984375" customWidth="1"/>
    <col min="451" max="451" width="26" bestFit="1" customWidth="1"/>
    <col min="452" max="452" width="16.3984375" customWidth="1"/>
    <col min="453" max="453" width="26" bestFit="1" customWidth="1"/>
    <col min="454" max="454" width="16.3984375" customWidth="1"/>
    <col min="455" max="455" width="26" bestFit="1" customWidth="1"/>
    <col min="456" max="456" width="16.3984375" customWidth="1"/>
    <col min="457" max="457" width="30.5" bestFit="1" customWidth="1"/>
    <col min="458" max="458" width="20.8984375" customWidth="1"/>
  </cols>
  <sheetData>
    <row r="1" spans="1:14" ht="23.25" x14ac:dyDescent="0.35">
      <c r="A1" s="643" t="s">
        <v>195</v>
      </c>
      <c r="B1" s="643"/>
      <c r="C1" s="643"/>
      <c r="D1" s="643"/>
      <c r="E1" s="643"/>
      <c r="F1" s="643"/>
      <c r="G1" s="643"/>
      <c r="H1" s="643"/>
      <c r="I1" s="643"/>
      <c r="J1" s="643"/>
      <c r="K1" s="643"/>
      <c r="L1" s="643"/>
    </row>
    <row r="2" spans="1:14" x14ac:dyDescent="0.3">
      <c r="B2" s="110" t="s">
        <v>153</v>
      </c>
    </row>
    <row r="3" spans="1:14" x14ac:dyDescent="0.3">
      <c r="A3" s="110" t="s">
        <v>151</v>
      </c>
      <c r="B3" s="193" t="s">
        <v>269</v>
      </c>
      <c r="C3" s="193" t="s">
        <v>270</v>
      </c>
      <c r="D3" s="193" t="s">
        <v>662</v>
      </c>
      <c r="E3" s="193" t="s">
        <v>661</v>
      </c>
      <c r="F3" s="193" t="s">
        <v>271</v>
      </c>
      <c r="G3" s="193" t="s">
        <v>272</v>
      </c>
      <c r="H3" s="193" t="s">
        <v>273</v>
      </c>
      <c r="I3" s="193" t="s">
        <v>274</v>
      </c>
      <c r="J3" s="193" t="s">
        <v>275</v>
      </c>
      <c r="K3" s="193" t="s">
        <v>276</v>
      </c>
      <c r="L3" s="193" t="s">
        <v>578</v>
      </c>
      <c r="M3" s="193" t="s">
        <v>579</v>
      </c>
      <c r="N3" s="193" t="s">
        <v>580</v>
      </c>
    </row>
    <row r="4" spans="1:14" x14ac:dyDescent="0.3">
      <c r="A4" s="44">
        <v>1</v>
      </c>
      <c r="B4" s="111">
        <v>8628</v>
      </c>
      <c r="C4" s="111">
        <v>3772</v>
      </c>
      <c r="D4" s="111">
        <v>1463</v>
      </c>
      <c r="E4" s="111">
        <v>2996</v>
      </c>
      <c r="F4" s="111">
        <v>4856</v>
      </c>
      <c r="G4" s="111">
        <v>4193</v>
      </c>
      <c r="H4" s="111">
        <v>569</v>
      </c>
      <c r="I4" s="111">
        <v>94</v>
      </c>
      <c r="J4" s="111">
        <v>420</v>
      </c>
      <c r="K4" s="111">
        <v>215</v>
      </c>
      <c r="L4" s="111">
        <v>2303</v>
      </c>
      <c r="M4" s="111">
        <v>857</v>
      </c>
      <c r="N4" s="111">
        <v>187</v>
      </c>
    </row>
    <row r="5" spans="1:14" x14ac:dyDescent="0.3">
      <c r="A5" s="44">
        <v>2</v>
      </c>
      <c r="B5" s="111">
        <v>14824</v>
      </c>
      <c r="C5" s="111">
        <v>6311</v>
      </c>
      <c r="D5" s="111">
        <v>2671</v>
      </c>
      <c r="E5" s="111">
        <v>4982</v>
      </c>
      <c r="F5" s="111">
        <v>8513</v>
      </c>
      <c r="G5" s="111">
        <v>7396</v>
      </c>
      <c r="H5" s="111">
        <v>944</v>
      </c>
      <c r="I5" s="111">
        <v>173</v>
      </c>
      <c r="J5" s="111">
        <v>939</v>
      </c>
      <c r="K5" s="111">
        <v>290</v>
      </c>
      <c r="L5" s="111">
        <v>4130</v>
      </c>
      <c r="M5" s="111">
        <v>1113</v>
      </c>
      <c r="N5" s="111">
        <v>572</v>
      </c>
    </row>
    <row r="6" spans="1:14" x14ac:dyDescent="0.3">
      <c r="A6" s="44">
        <v>3</v>
      </c>
      <c r="B6" s="111">
        <v>10740</v>
      </c>
      <c r="C6" s="111">
        <v>5780</v>
      </c>
      <c r="D6" s="111">
        <v>2649</v>
      </c>
      <c r="E6" s="111">
        <v>4479</v>
      </c>
      <c r="F6" s="111">
        <v>4960</v>
      </c>
      <c r="G6" s="111">
        <v>4369</v>
      </c>
      <c r="H6" s="111">
        <v>423</v>
      </c>
      <c r="I6" s="111">
        <v>168</v>
      </c>
      <c r="J6" s="111">
        <v>487</v>
      </c>
      <c r="K6" s="111">
        <v>232</v>
      </c>
      <c r="L6" s="111">
        <v>2732</v>
      </c>
      <c r="M6" s="111">
        <v>625</v>
      </c>
      <c r="N6" s="111">
        <v>226</v>
      </c>
    </row>
    <row r="7" spans="1:14" x14ac:dyDescent="0.3">
      <c r="A7" s="44">
        <v>4</v>
      </c>
      <c r="B7" s="111">
        <v>17723</v>
      </c>
      <c r="C7" s="111">
        <v>5951</v>
      </c>
      <c r="D7" s="111">
        <v>1416</v>
      </c>
      <c r="E7" s="111">
        <v>5290</v>
      </c>
      <c r="F7" s="111">
        <v>11772</v>
      </c>
      <c r="G7" s="111">
        <v>10089</v>
      </c>
      <c r="H7" s="111">
        <v>1238</v>
      </c>
      <c r="I7" s="111">
        <v>445</v>
      </c>
      <c r="J7" s="111">
        <v>838</v>
      </c>
      <c r="K7" s="111">
        <v>392</v>
      </c>
      <c r="L7" s="111">
        <v>5737</v>
      </c>
      <c r="M7" s="111">
        <v>881</v>
      </c>
      <c r="N7" s="111">
        <v>550</v>
      </c>
    </row>
    <row r="8" spans="1:14" x14ac:dyDescent="0.3">
      <c r="A8" s="44">
        <v>5</v>
      </c>
      <c r="B8" s="111">
        <v>35333</v>
      </c>
      <c r="C8" s="111">
        <v>15105</v>
      </c>
      <c r="D8" s="111">
        <v>6196</v>
      </c>
      <c r="E8" s="111">
        <v>11653</v>
      </c>
      <c r="F8" s="111">
        <v>20228</v>
      </c>
      <c r="G8" s="111">
        <v>17964</v>
      </c>
      <c r="H8" s="111">
        <v>1637</v>
      </c>
      <c r="I8" s="111">
        <v>627</v>
      </c>
      <c r="J8" s="111">
        <v>1755</v>
      </c>
      <c r="K8" s="111">
        <v>822</v>
      </c>
      <c r="L8" s="111">
        <v>12620</v>
      </c>
      <c r="M8" s="111">
        <v>1453</v>
      </c>
      <c r="N8" s="111">
        <v>1197</v>
      </c>
    </row>
    <row r="9" spans="1:14" x14ac:dyDescent="0.3">
      <c r="A9" s="44">
        <v>6</v>
      </c>
      <c r="B9" s="111">
        <v>18085</v>
      </c>
      <c r="C9" s="111">
        <v>9469</v>
      </c>
      <c r="D9" s="111">
        <v>3435</v>
      </c>
      <c r="E9" s="111">
        <v>7899</v>
      </c>
      <c r="F9" s="111">
        <v>8616</v>
      </c>
      <c r="G9" s="111">
        <v>7128</v>
      </c>
      <c r="H9" s="111">
        <v>1278</v>
      </c>
      <c r="I9" s="111">
        <v>210</v>
      </c>
      <c r="J9" s="111">
        <v>774</v>
      </c>
      <c r="K9" s="111">
        <v>194</v>
      </c>
      <c r="L9" s="111">
        <v>5400</v>
      </c>
      <c r="M9" s="111">
        <v>1576</v>
      </c>
      <c r="N9" s="111">
        <v>1060</v>
      </c>
    </row>
    <row r="10" spans="1:14" x14ac:dyDescent="0.3">
      <c r="A10" s="44">
        <v>7</v>
      </c>
      <c r="B10" s="111">
        <v>14240</v>
      </c>
      <c r="C10" s="111">
        <v>6552</v>
      </c>
      <c r="D10" s="111">
        <v>3542</v>
      </c>
      <c r="E10" s="111">
        <v>4655</v>
      </c>
      <c r="F10" s="111">
        <v>7688</v>
      </c>
      <c r="G10" s="111">
        <v>6182</v>
      </c>
      <c r="H10" s="111">
        <v>1118</v>
      </c>
      <c r="I10" s="111">
        <v>388</v>
      </c>
      <c r="J10" s="111">
        <v>993</v>
      </c>
      <c r="K10" s="111">
        <v>802</v>
      </c>
      <c r="L10" s="111">
        <v>3533</v>
      </c>
      <c r="M10" s="111">
        <v>727</v>
      </c>
      <c r="N10" s="111">
        <v>775</v>
      </c>
    </row>
    <row r="11" spans="1:14" x14ac:dyDescent="0.3">
      <c r="A11" s="44">
        <v>8</v>
      </c>
      <c r="B11" s="111">
        <v>12890</v>
      </c>
      <c r="C11" s="111">
        <v>2805</v>
      </c>
      <c r="D11" s="111">
        <v>1311</v>
      </c>
      <c r="E11" s="111">
        <v>2093</v>
      </c>
      <c r="F11" s="111">
        <v>10085</v>
      </c>
      <c r="G11" s="111">
        <v>9397</v>
      </c>
      <c r="H11" s="111">
        <v>557</v>
      </c>
      <c r="I11" s="111">
        <v>131</v>
      </c>
      <c r="J11" s="111">
        <v>359</v>
      </c>
      <c r="K11" s="111">
        <v>179</v>
      </c>
      <c r="L11" s="111">
        <v>3113</v>
      </c>
      <c r="M11" s="111">
        <v>597</v>
      </c>
      <c r="N11" s="111">
        <v>297</v>
      </c>
    </row>
    <row r="12" spans="1:14" x14ac:dyDescent="0.3">
      <c r="A12" s="44">
        <v>9</v>
      </c>
      <c r="B12" s="111">
        <v>10773</v>
      </c>
      <c r="C12" s="111">
        <v>3381</v>
      </c>
      <c r="D12" s="111">
        <v>1884</v>
      </c>
      <c r="E12" s="111">
        <v>2447</v>
      </c>
      <c r="F12" s="111">
        <v>7392</v>
      </c>
      <c r="G12" s="111">
        <v>6670</v>
      </c>
      <c r="H12" s="111">
        <v>603</v>
      </c>
      <c r="I12" s="111">
        <v>119</v>
      </c>
      <c r="J12" s="111">
        <v>455</v>
      </c>
      <c r="K12" s="111">
        <v>299</v>
      </c>
      <c r="L12" s="111">
        <v>3518</v>
      </c>
      <c r="M12" s="111">
        <v>417</v>
      </c>
      <c r="N12" s="111">
        <v>393</v>
      </c>
    </row>
    <row r="13" spans="1:14" x14ac:dyDescent="0.3">
      <c r="A13" s="44">
        <v>10</v>
      </c>
      <c r="B13" s="111">
        <v>5948</v>
      </c>
      <c r="C13" s="111">
        <v>1739</v>
      </c>
      <c r="D13" s="111">
        <v>768</v>
      </c>
      <c r="E13" s="111">
        <v>1364</v>
      </c>
      <c r="F13" s="111">
        <v>4209</v>
      </c>
      <c r="G13" s="111">
        <v>3365</v>
      </c>
      <c r="H13" s="111">
        <v>672</v>
      </c>
      <c r="I13" s="111">
        <v>172</v>
      </c>
      <c r="J13" s="111">
        <v>629</v>
      </c>
      <c r="K13" s="111">
        <v>166</v>
      </c>
      <c r="L13" s="111">
        <v>1585</v>
      </c>
      <c r="M13" s="111">
        <v>503</v>
      </c>
      <c r="N13" s="111">
        <v>185</v>
      </c>
    </row>
    <row r="14" spans="1:14" x14ac:dyDescent="0.3">
      <c r="A14" s="44">
        <v>11</v>
      </c>
      <c r="B14" s="111">
        <v>9745</v>
      </c>
      <c r="C14" s="111">
        <v>3516</v>
      </c>
      <c r="D14" s="111">
        <v>1784</v>
      </c>
      <c r="E14" s="111">
        <v>2740</v>
      </c>
      <c r="F14" s="111">
        <v>6229</v>
      </c>
      <c r="G14" s="111">
        <v>5797</v>
      </c>
      <c r="H14" s="111">
        <v>327</v>
      </c>
      <c r="I14" s="111">
        <v>105</v>
      </c>
      <c r="J14" s="111">
        <v>211</v>
      </c>
      <c r="K14" s="111">
        <v>179</v>
      </c>
      <c r="L14" s="111">
        <v>2644</v>
      </c>
      <c r="M14" s="111">
        <v>455</v>
      </c>
      <c r="N14" s="111">
        <v>161</v>
      </c>
    </row>
    <row r="15" spans="1:14" x14ac:dyDescent="0.3">
      <c r="A15" s="44">
        <v>12</v>
      </c>
      <c r="B15" s="111">
        <v>13026</v>
      </c>
      <c r="C15" s="111">
        <v>5556</v>
      </c>
      <c r="D15" s="111">
        <v>1877</v>
      </c>
      <c r="E15" s="111">
        <v>4709</v>
      </c>
      <c r="F15" s="111">
        <v>7470</v>
      </c>
      <c r="G15" s="111">
        <v>6388</v>
      </c>
      <c r="H15" s="111">
        <v>926</v>
      </c>
      <c r="I15" s="111">
        <v>156</v>
      </c>
      <c r="J15" s="111">
        <v>484</v>
      </c>
      <c r="K15" s="111">
        <v>308</v>
      </c>
      <c r="L15" s="111">
        <v>3989</v>
      </c>
      <c r="M15" s="111">
        <v>716</v>
      </c>
      <c r="N15" s="111">
        <v>917</v>
      </c>
    </row>
    <row r="16" spans="1:14" x14ac:dyDescent="0.3">
      <c r="A16" s="44" t="s">
        <v>152</v>
      </c>
      <c r="B16" s="111">
        <v>171955</v>
      </c>
      <c r="C16" s="111">
        <v>69937</v>
      </c>
      <c r="D16" s="111">
        <v>28996</v>
      </c>
      <c r="E16" s="111">
        <v>55307</v>
      </c>
      <c r="F16" s="111">
        <v>102018</v>
      </c>
      <c r="G16" s="111">
        <v>88938</v>
      </c>
      <c r="H16" s="111">
        <v>10292</v>
      </c>
      <c r="I16" s="111">
        <v>2788</v>
      </c>
      <c r="J16" s="111">
        <v>8344</v>
      </c>
      <c r="K16" s="111">
        <v>4078</v>
      </c>
      <c r="L16" s="111">
        <v>51304</v>
      </c>
      <c r="M16" s="111">
        <v>9920</v>
      </c>
      <c r="N16" s="111">
        <v>6520</v>
      </c>
    </row>
    <row r="18" spans="1:12" ht="23.25" x14ac:dyDescent="0.35">
      <c r="A18" s="643" t="s">
        <v>77</v>
      </c>
      <c r="B18" s="643"/>
      <c r="C18" s="643"/>
      <c r="D18" s="643"/>
      <c r="E18" s="643"/>
      <c r="F18" s="278"/>
      <c r="G18" s="278"/>
      <c r="H18" s="278"/>
      <c r="I18" s="278"/>
      <c r="J18" s="278"/>
      <c r="K18" s="278"/>
      <c r="L18" s="278"/>
    </row>
    <row r="19" spans="1:12" x14ac:dyDescent="0.3">
      <c r="B19" s="110" t="s">
        <v>153</v>
      </c>
    </row>
    <row r="20" spans="1:12" x14ac:dyDescent="0.3">
      <c r="A20" s="110" t="s">
        <v>151</v>
      </c>
      <c r="B20" s="193" t="s">
        <v>582</v>
      </c>
      <c r="C20" s="193" t="s">
        <v>581</v>
      </c>
      <c r="D20" s="193" t="s">
        <v>583</v>
      </c>
      <c r="E20" s="193" t="s">
        <v>584</v>
      </c>
    </row>
    <row r="21" spans="1:12" x14ac:dyDescent="0.3">
      <c r="A21" s="44">
        <v>1</v>
      </c>
      <c r="B21" s="111">
        <v>487</v>
      </c>
      <c r="C21" s="111">
        <v>3410</v>
      </c>
      <c r="D21" s="111">
        <v>43</v>
      </c>
      <c r="E21" s="111">
        <v>2045</v>
      </c>
    </row>
    <row r="22" spans="1:12" x14ac:dyDescent="0.3">
      <c r="A22" s="44">
        <v>10</v>
      </c>
      <c r="B22" s="111">
        <v>183</v>
      </c>
      <c r="C22" s="111">
        <v>3608</v>
      </c>
      <c r="D22" s="111">
        <v>69</v>
      </c>
      <c r="E22" s="111">
        <v>1914</v>
      </c>
    </row>
    <row r="23" spans="1:12" x14ac:dyDescent="0.3">
      <c r="A23" s="44">
        <v>11</v>
      </c>
      <c r="B23" s="111">
        <v>197</v>
      </c>
      <c r="C23" s="111">
        <v>5352</v>
      </c>
      <c r="D23" s="111">
        <v>130</v>
      </c>
      <c r="E23" s="111">
        <v>2466</v>
      </c>
    </row>
    <row r="24" spans="1:12" x14ac:dyDescent="0.3">
      <c r="A24" s="44">
        <v>12</v>
      </c>
      <c r="B24" s="111">
        <v>1006</v>
      </c>
      <c r="C24" s="111">
        <v>6204</v>
      </c>
      <c r="D24" s="111">
        <v>7</v>
      </c>
      <c r="E24" s="111">
        <v>2354</v>
      </c>
    </row>
    <row r="25" spans="1:12" x14ac:dyDescent="0.3">
      <c r="A25" s="44">
        <v>2</v>
      </c>
      <c r="B25" s="111">
        <v>416</v>
      </c>
      <c r="C25" s="111">
        <v>5658</v>
      </c>
      <c r="D25" s="111">
        <v>194</v>
      </c>
      <c r="E25" s="111">
        <v>2692</v>
      </c>
    </row>
    <row r="26" spans="1:12" x14ac:dyDescent="0.3">
      <c r="A26" s="44">
        <v>3</v>
      </c>
      <c r="B26" s="111">
        <v>415</v>
      </c>
      <c r="C26" s="111">
        <v>3390</v>
      </c>
      <c r="D26" s="111">
        <v>72</v>
      </c>
      <c r="E26" s="111">
        <v>2684</v>
      </c>
    </row>
    <row r="27" spans="1:12" x14ac:dyDescent="0.3">
      <c r="A27" s="44">
        <v>4</v>
      </c>
      <c r="B27" s="111">
        <v>755</v>
      </c>
      <c r="C27" s="111">
        <v>7286</v>
      </c>
      <c r="D27" s="111">
        <v>287</v>
      </c>
      <c r="E27" s="111">
        <v>2111</v>
      </c>
    </row>
    <row r="28" spans="1:12" x14ac:dyDescent="0.3">
      <c r="A28" s="44">
        <v>5</v>
      </c>
      <c r="B28" s="111">
        <v>1323</v>
      </c>
      <c r="C28" s="111">
        <v>11742</v>
      </c>
      <c r="D28" s="111">
        <v>323</v>
      </c>
      <c r="E28" s="111">
        <v>5848</v>
      </c>
    </row>
    <row r="29" spans="1:12" x14ac:dyDescent="0.3">
      <c r="A29" s="44">
        <v>6</v>
      </c>
      <c r="B29" s="111">
        <v>695</v>
      </c>
      <c r="C29" s="111">
        <v>4724</v>
      </c>
      <c r="D29" s="111">
        <v>60</v>
      </c>
      <c r="E29" s="111">
        <v>3243</v>
      </c>
    </row>
    <row r="30" spans="1:12" x14ac:dyDescent="0.3">
      <c r="A30" s="44">
        <v>7</v>
      </c>
      <c r="B30" s="111">
        <v>442</v>
      </c>
      <c r="C30" s="111">
        <v>5110</v>
      </c>
      <c r="D30" s="111">
        <v>49</v>
      </c>
      <c r="E30" s="111">
        <v>3383</v>
      </c>
    </row>
    <row r="31" spans="1:12" x14ac:dyDescent="0.3">
      <c r="A31" s="44">
        <v>8</v>
      </c>
      <c r="B31" s="111">
        <v>292</v>
      </c>
      <c r="C31" s="111">
        <v>8652</v>
      </c>
      <c r="D31" s="111">
        <v>244</v>
      </c>
      <c r="E31" s="111">
        <v>3611</v>
      </c>
    </row>
    <row r="32" spans="1:12" x14ac:dyDescent="0.3">
      <c r="A32" s="44">
        <v>9</v>
      </c>
      <c r="B32" s="111">
        <v>250</v>
      </c>
      <c r="C32" s="111">
        <v>5984</v>
      </c>
      <c r="D32" s="111">
        <v>451</v>
      </c>
      <c r="E32" s="111">
        <v>3104</v>
      </c>
    </row>
    <row r="33" spans="1:9" x14ac:dyDescent="0.3">
      <c r="A33" s="44" t="s">
        <v>152</v>
      </c>
      <c r="B33" s="111">
        <v>6461</v>
      </c>
      <c r="C33" s="111">
        <v>71120</v>
      </c>
      <c r="D33" s="111">
        <v>1929</v>
      </c>
      <c r="E33" s="111">
        <v>35455</v>
      </c>
    </row>
    <row r="36" spans="1:9" ht="26.25" x14ac:dyDescent="0.4">
      <c r="A36" s="644" t="s">
        <v>585</v>
      </c>
      <c r="B36" s="644"/>
      <c r="C36" s="644"/>
      <c r="D36" s="644"/>
      <c r="E36" s="644"/>
    </row>
    <row r="37" spans="1:9" x14ac:dyDescent="0.3">
      <c r="B37" s="110" t="s">
        <v>153</v>
      </c>
    </row>
    <row r="38" spans="1:9" x14ac:dyDescent="0.3">
      <c r="A38" s="110" t="s">
        <v>151</v>
      </c>
      <c r="B38" s="193" t="s">
        <v>155</v>
      </c>
      <c r="C38" s="193" t="s">
        <v>156</v>
      </c>
      <c r="D38" s="193" t="s">
        <v>157</v>
      </c>
      <c r="E38" s="193" t="s">
        <v>160</v>
      </c>
      <c r="F38" s="193" t="s">
        <v>159</v>
      </c>
      <c r="G38" s="193" t="s">
        <v>158</v>
      </c>
      <c r="H38" s="193" t="s">
        <v>161</v>
      </c>
      <c r="I38" s="193" t="s">
        <v>162</v>
      </c>
    </row>
    <row r="39" spans="1:9" x14ac:dyDescent="0.3">
      <c r="A39" s="44">
        <v>1</v>
      </c>
      <c r="B39" s="111">
        <v>674</v>
      </c>
      <c r="C39" s="111">
        <v>859</v>
      </c>
      <c r="D39" s="111">
        <v>457</v>
      </c>
      <c r="E39" s="111">
        <v>497</v>
      </c>
      <c r="F39" s="111">
        <v>97</v>
      </c>
      <c r="G39" s="111">
        <v>87</v>
      </c>
      <c r="H39" s="111">
        <v>123</v>
      </c>
      <c r="I39" s="111">
        <v>206</v>
      </c>
    </row>
    <row r="40" spans="1:9" x14ac:dyDescent="0.3">
      <c r="A40" s="44">
        <v>2</v>
      </c>
      <c r="B40" s="111">
        <v>1733</v>
      </c>
      <c r="C40" s="111">
        <v>1982</v>
      </c>
      <c r="D40" s="111">
        <v>900</v>
      </c>
      <c r="E40" s="111">
        <v>1403</v>
      </c>
      <c r="F40" s="111">
        <v>90</v>
      </c>
      <c r="G40" s="111">
        <v>111</v>
      </c>
      <c r="H40" s="111">
        <v>52</v>
      </c>
      <c r="I40" s="111">
        <v>750</v>
      </c>
    </row>
    <row r="41" spans="1:9" x14ac:dyDescent="0.3">
      <c r="A41" s="44">
        <v>3</v>
      </c>
      <c r="B41" s="111">
        <v>853</v>
      </c>
      <c r="C41" s="111">
        <v>890</v>
      </c>
      <c r="D41" s="111">
        <v>486</v>
      </c>
      <c r="E41" s="111">
        <v>481</v>
      </c>
      <c r="F41" s="111">
        <v>110</v>
      </c>
      <c r="G41" s="111">
        <v>41</v>
      </c>
      <c r="H41" s="111">
        <v>79</v>
      </c>
      <c r="I41" s="111">
        <v>182</v>
      </c>
    </row>
    <row r="42" spans="1:9" x14ac:dyDescent="0.3">
      <c r="A42" s="44">
        <v>4</v>
      </c>
      <c r="B42" s="111">
        <v>1905</v>
      </c>
      <c r="C42" s="111">
        <v>1736</v>
      </c>
      <c r="D42" s="111">
        <v>1294</v>
      </c>
      <c r="E42" s="111">
        <v>1479</v>
      </c>
      <c r="F42" s="111">
        <v>196</v>
      </c>
      <c r="G42" s="111">
        <v>59</v>
      </c>
      <c r="H42" s="111">
        <v>215</v>
      </c>
      <c r="I42" s="111">
        <v>429</v>
      </c>
    </row>
    <row r="43" spans="1:9" x14ac:dyDescent="0.3">
      <c r="A43" s="44">
        <v>5</v>
      </c>
      <c r="B43" s="111">
        <v>3078</v>
      </c>
      <c r="C43" s="111">
        <v>3379</v>
      </c>
      <c r="D43" s="111">
        <v>2149</v>
      </c>
      <c r="E43" s="111">
        <v>2193</v>
      </c>
      <c r="F43" s="111">
        <v>387</v>
      </c>
      <c r="G43" s="111">
        <v>413</v>
      </c>
      <c r="H43" s="111">
        <v>357</v>
      </c>
      <c r="I43" s="111">
        <v>635</v>
      </c>
    </row>
    <row r="44" spans="1:9" x14ac:dyDescent="0.3">
      <c r="A44" s="44">
        <v>6</v>
      </c>
      <c r="B44" s="111">
        <v>1495</v>
      </c>
      <c r="C44" s="111">
        <v>1572</v>
      </c>
      <c r="D44" s="111">
        <v>690</v>
      </c>
      <c r="E44" s="111">
        <v>762</v>
      </c>
      <c r="F44" s="111">
        <v>151</v>
      </c>
      <c r="G44" s="111">
        <v>72</v>
      </c>
      <c r="H44" s="111">
        <v>102</v>
      </c>
      <c r="I44" s="111">
        <v>543</v>
      </c>
    </row>
    <row r="45" spans="1:9" x14ac:dyDescent="0.3">
      <c r="A45" s="44">
        <v>7</v>
      </c>
      <c r="B45" s="111">
        <v>1500</v>
      </c>
      <c r="C45" s="111">
        <v>2209</v>
      </c>
      <c r="D45" s="111">
        <v>912</v>
      </c>
      <c r="E45" s="111">
        <v>1187</v>
      </c>
      <c r="F45" s="111">
        <v>257</v>
      </c>
      <c r="G45" s="111">
        <v>320</v>
      </c>
      <c r="H45" s="111">
        <v>192</v>
      </c>
      <c r="I45" s="111">
        <v>499</v>
      </c>
    </row>
    <row r="46" spans="1:9" x14ac:dyDescent="0.3">
      <c r="A46" s="44">
        <v>8</v>
      </c>
      <c r="B46" s="111">
        <v>658</v>
      </c>
      <c r="C46" s="111">
        <v>835</v>
      </c>
      <c r="D46" s="111">
        <v>522</v>
      </c>
      <c r="E46" s="111">
        <v>587</v>
      </c>
      <c r="F46" s="111">
        <v>98</v>
      </c>
      <c r="G46" s="111">
        <v>79</v>
      </c>
      <c r="H46" s="111">
        <v>121</v>
      </c>
      <c r="I46" s="111">
        <v>257</v>
      </c>
    </row>
    <row r="47" spans="1:9" x14ac:dyDescent="0.3">
      <c r="A47" s="44">
        <v>9</v>
      </c>
      <c r="B47" s="111">
        <v>851</v>
      </c>
      <c r="C47" s="111">
        <v>1013</v>
      </c>
      <c r="D47" s="111">
        <v>517</v>
      </c>
      <c r="E47" s="111">
        <v>785</v>
      </c>
      <c r="F47" s="111">
        <v>40</v>
      </c>
      <c r="G47" s="111">
        <v>87</v>
      </c>
      <c r="H47" s="111">
        <v>211</v>
      </c>
      <c r="I47" s="111">
        <v>483</v>
      </c>
    </row>
    <row r="48" spans="1:9" x14ac:dyDescent="0.3">
      <c r="A48" s="44">
        <v>10</v>
      </c>
      <c r="B48" s="111">
        <v>4523</v>
      </c>
      <c r="C48" s="111">
        <v>4750</v>
      </c>
      <c r="D48" s="111">
        <v>428</v>
      </c>
      <c r="E48" s="111">
        <v>479</v>
      </c>
      <c r="F48" s="111">
        <v>110</v>
      </c>
      <c r="G48" s="111">
        <v>94</v>
      </c>
      <c r="H48" s="111">
        <v>91</v>
      </c>
      <c r="I48" s="111">
        <v>151</v>
      </c>
    </row>
    <row r="49" spans="1:9" x14ac:dyDescent="0.3">
      <c r="A49" s="44">
        <v>11</v>
      </c>
      <c r="B49" s="111">
        <v>449</v>
      </c>
      <c r="C49" s="111">
        <v>444</v>
      </c>
      <c r="D49" s="111">
        <v>372</v>
      </c>
      <c r="E49" s="111">
        <v>364</v>
      </c>
      <c r="F49" s="111">
        <v>36</v>
      </c>
      <c r="G49" s="111">
        <v>36</v>
      </c>
      <c r="H49" s="111">
        <v>115</v>
      </c>
      <c r="I49" s="111">
        <v>181</v>
      </c>
    </row>
    <row r="50" spans="1:9" x14ac:dyDescent="0.3">
      <c r="A50" s="44">
        <v>12</v>
      </c>
      <c r="B50" s="111">
        <v>1064</v>
      </c>
      <c r="C50" s="111">
        <v>1965</v>
      </c>
      <c r="D50" s="111">
        <v>819</v>
      </c>
      <c r="E50" s="111">
        <v>926</v>
      </c>
      <c r="F50" s="111">
        <v>133</v>
      </c>
      <c r="G50" s="111">
        <v>129</v>
      </c>
      <c r="H50" s="111">
        <v>345</v>
      </c>
      <c r="I50" s="111">
        <v>706</v>
      </c>
    </row>
    <row r="51" spans="1:9" x14ac:dyDescent="0.3">
      <c r="A51" s="44" t="s">
        <v>152</v>
      </c>
      <c r="B51" s="111">
        <v>18783</v>
      </c>
      <c r="C51" s="111">
        <v>21634</v>
      </c>
      <c r="D51" s="111">
        <v>9546</v>
      </c>
      <c r="E51" s="111">
        <v>11143</v>
      </c>
      <c r="F51" s="111">
        <v>1705</v>
      </c>
      <c r="G51" s="111">
        <v>1528</v>
      </c>
      <c r="H51" s="111">
        <v>2003</v>
      </c>
      <c r="I51" s="111">
        <v>5022</v>
      </c>
    </row>
    <row r="53" spans="1:9" ht="26.25" x14ac:dyDescent="0.4">
      <c r="A53" s="644" t="s">
        <v>586</v>
      </c>
      <c r="B53" s="644"/>
      <c r="C53" s="644"/>
      <c r="D53" s="644"/>
      <c r="E53" s="644"/>
      <c r="F53" s="644"/>
      <c r="G53" s="644"/>
      <c r="H53" s="644"/>
    </row>
    <row r="54" spans="1:9" x14ac:dyDescent="0.3">
      <c r="B54" s="110" t="s">
        <v>153</v>
      </c>
    </row>
    <row r="55" spans="1:9" x14ac:dyDescent="0.3">
      <c r="A55" s="110" t="s">
        <v>151</v>
      </c>
      <c r="B55" s="193" t="s">
        <v>587</v>
      </c>
      <c r="C55" s="193" t="s">
        <v>588</v>
      </c>
      <c r="D55" s="193" t="s">
        <v>589</v>
      </c>
      <c r="E55" s="193" t="s">
        <v>590</v>
      </c>
      <c r="F55" s="193" t="s">
        <v>591</v>
      </c>
      <c r="G55" s="193" t="s">
        <v>592</v>
      </c>
      <c r="H55" s="193" t="s">
        <v>593</v>
      </c>
      <c r="I55" s="193" t="s">
        <v>594</v>
      </c>
    </row>
    <row r="56" spans="1:9" x14ac:dyDescent="0.3">
      <c r="A56" s="44">
        <v>1</v>
      </c>
      <c r="B56" s="111">
        <v>481</v>
      </c>
      <c r="C56" s="111">
        <v>620</v>
      </c>
      <c r="D56" s="111">
        <v>585</v>
      </c>
      <c r="E56" s="111">
        <v>1085</v>
      </c>
      <c r="F56" s="111">
        <v>379</v>
      </c>
      <c r="G56" s="111">
        <v>559</v>
      </c>
      <c r="H56" s="111">
        <v>1538</v>
      </c>
      <c r="I56" s="111">
        <v>1341</v>
      </c>
    </row>
    <row r="57" spans="1:9" x14ac:dyDescent="0.3">
      <c r="A57" s="44">
        <v>2</v>
      </c>
      <c r="B57" s="111">
        <v>869</v>
      </c>
      <c r="C57" s="111">
        <v>1381</v>
      </c>
      <c r="D57" s="111">
        <v>726</v>
      </c>
      <c r="E57" s="111">
        <v>1254</v>
      </c>
      <c r="F57" s="111">
        <v>435</v>
      </c>
      <c r="G57" s="111">
        <v>739</v>
      </c>
      <c r="H57" s="111">
        <v>1759</v>
      </c>
      <c r="I57" s="111">
        <v>1645</v>
      </c>
    </row>
    <row r="58" spans="1:9" x14ac:dyDescent="0.3">
      <c r="A58" s="44">
        <v>3</v>
      </c>
      <c r="B58" s="111">
        <v>699</v>
      </c>
      <c r="C58" s="111">
        <v>928</v>
      </c>
      <c r="D58" s="111">
        <v>327</v>
      </c>
      <c r="E58" s="111">
        <v>430</v>
      </c>
      <c r="F58" s="111">
        <v>201</v>
      </c>
      <c r="G58" s="111">
        <v>466</v>
      </c>
      <c r="H58" s="111">
        <v>2974</v>
      </c>
      <c r="I58" s="111">
        <v>2132</v>
      </c>
    </row>
    <row r="59" spans="1:9" x14ac:dyDescent="0.3">
      <c r="A59" s="44">
        <v>4</v>
      </c>
      <c r="B59" s="111">
        <v>956</v>
      </c>
      <c r="C59" s="111">
        <v>1314</v>
      </c>
      <c r="D59" s="111">
        <v>702</v>
      </c>
      <c r="E59" s="111">
        <v>1151</v>
      </c>
      <c r="F59" s="111">
        <v>502</v>
      </c>
      <c r="G59" s="111">
        <v>724</v>
      </c>
      <c r="H59" s="111">
        <v>2812</v>
      </c>
      <c r="I59" s="111">
        <v>2941</v>
      </c>
    </row>
    <row r="60" spans="1:9" x14ac:dyDescent="0.3">
      <c r="A60" s="44">
        <v>5</v>
      </c>
      <c r="B60" s="111">
        <v>1286</v>
      </c>
      <c r="C60" s="111">
        <v>1481</v>
      </c>
      <c r="D60" s="111">
        <v>451</v>
      </c>
      <c r="E60" s="111">
        <v>1023</v>
      </c>
      <c r="F60" s="111">
        <v>402</v>
      </c>
      <c r="G60" s="111">
        <v>1138</v>
      </c>
      <c r="H60" s="111">
        <v>11440</v>
      </c>
      <c r="I60" s="111">
        <v>8843</v>
      </c>
    </row>
    <row r="61" spans="1:9" x14ac:dyDescent="0.3">
      <c r="A61" s="44">
        <v>6</v>
      </c>
      <c r="B61" s="111">
        <v>900</v>
      </c>
      <c r="C61" s="111">
        <v>1269</v>
      </c>
      <c r="D61" s="111">
        <v>372</v>
      </c>
      <c r="E61" s="111">
        <v>1013</v>
      </c>
      <c r="F61" s="111">
        <v>214</v>
      </c>
      <c r="G61" s="111">
        <v>402</v>
      </c>
      <c r="H61" s="111">
        <v>2206</v>
      </c>
      <c r="I61" s="111">
        <v>1942</v>
      </c>
    </row>
    <row r="62" spans="1:9" x14ac:dyDescent="0.3">
      <c r="A62" s="44">
        <v>7</v>
      </c>
      <c r="B62" s="111">
        <v>630</v>
      </c>
      <c r="C62" s="111">
        <v>695</v>
      </c>
      <c r="D62" s="111">
        <v>796</v>
      </c>
      <c r="E62" s="111">
        <v>948</v>
      </c>
      <c r="F62" s="111">
        <v>597</v>
      </c>
      <c r="G62" s="111">
        <v>679</v>
      </c>
      <c r="H62" s="111">
        <v>1826</v>
      </c>
      <c r="I62" s="111">
        <v>1642</v>
      </c>
    </row>
    <row r="63" spans="1:9" x14ac:dyDescent="0.3">
      <c r="A63" s="44">
        <v>8</v>
      </c>
      <c r="B63" s="111">
        <v>920</v>
      </c>
      <c r="C63" s="111">
        <v>1020</v>
      </c>
      <c r="D63" s="111">
        <v>811</v>
      </c>
      <c r="E63" s="111">
        <v>5264</v>
      </c>
      <c r="F63" s="111">
        <v>856</v>
      </c>
      <c r="G63" s="111">
        <v>5751</v>
      </c>
      <c r="H63" s="111">
        <v>1419</v>
      </c>
      <c r="I63" s="111">
        <v>1259</v>
      </c>
    </row>
    <row r="64" spans="1:9" x14ac:dyDescent="0.3">
      <c r="A64" s="44">
        <v>9</v>
      </c>
      <c r="B64" s="111">
        <v>573</v>
      </c>
      <c r="C64" s="111">
        <v>668</v>
      </c>
      <c r="D64" s="111">
        <v>410</v>
      </c>
      <c r="E64" s="111">
        <v>1173</v>
      </c>
      <c r="F64" s="111">
        <v>425</v>
      </c>
      <c r="G64" s="111">
        <v>1715</v>
      </c>
      <c r="H64" s="111">
        <v>1130</v>
      </c>
      <c r="I64" s="111">
        <v>1024</v>
      </c>
    </row>
    <row r="65" spans="1:9" x14ac:dyDescent="0.3">
      <c r="A65" s="44">
        <v>10</v>
      </c>
      <c r="B65" s="111">
        <v>645</v>
      </c>
      <c r="C65" s="111">
        <v>1230</v>
      </c>
      <c r="D65" s="111">
        <v>512</v>
      </c>
      <c r="E65" s="111">
        <v>803</v>
      </c>
      <c r="F65" s="111">
        <v>366</v>
      </c>
      <c r="G65" s="111">
        <v>429</v>
      </c>
      <c r="H65" s="111">
        <v>556</v>
      </c>
      <c r="I65" s="111">
        <v>720</v>
      </c>
    </row>
    <row r="66" spans="1:9" x14ac:dyDescent="0.3">
      <c r="A66" s="44">
        <v>11</v>
      </c>
      <c r="B66" s="111">
        <v>568</v>
      </c>
      <c r="C66" s="111">
        <v>629</v>
      </c>
      <c r="D66" s="111">
        <v>441</v>
      </c>
      <c r="E66" s="111">
        <v>1226</v>
      </c>
      <c r="F66" s="111">
        <v>344</v>
      </c>
      <c r="G66" s="111">
        <v>1210</v>
      </c>
      <c r="H66" s="111">
        <v>1085</v>
      </c>
      <c r="I66" s="111">
        <v>1250</v>
      </c>
    </row>
    <row r="67" spans="1:9" x14ac:dyDescent="0.3">
      <c r="A67" s="44">
        <v>12</v>
      </c>
      <c r="B67" s="111">
        <v>593</v>
      </c>
      <c r="C67" s="111">
        <v>724</v>
      </c>
      <c r="D67" s="111">
        <v>500</v>
      </c>
      <c r="E67" s="111">
        <v>613</v>
      </c>
      <c r="F67" s="111">
        <v>363</v>
      </c>
      <c r="G67" s="111">
        <v>532</v>
      </c>
      <c r="H67" s="111">
        <v>2168</v>
      </c>
      <c r="I67" s="111">
        <v>2133</v>
      </c>
    </row>
    <row r="68" spans="1:9" x14ac:dyDescent="0.3">
      <c r="A68" s="44">
        <v>13</v>
      </c>
      <c r="B68" s="111">
        <v>8</v>
      </c>
      <c r="C68" s="111">
        <v>9</v>
      </c>
      <c r="D68" s="111">
        <v>1</v>
      </c>
      <c r="E68" s="111">
        <v>1</v>
      </c>
      <c r="F68" s="111">
        <v>8</v>
      </c>
      <c r="G68" s="111">
        <v>290</v>
      </c>
      <c r="H68" s="111">
        <v>899</v>
      </c>
      <c r="I68" s="111">
        <v>668</v>
      </c>
    </row>
    <row r="69" spans="1:9" x14ac:dyDescent="0.3">
      <c r="A69" s="44" t="s">
        <v>152</v>
      </c>
      <c r="B69" s="111">
        <v>9128</v>
      </c>
      <c r="C69" s="111">
        <v>11968</v>
      </c>
      <c r="D69" s="111">
        <v>6634</v>
      </c>
      <c r="E69" s="111">
        <v>15984</v>
      </c>
      <c r="F69" s="111">
        <v>5092</v>
      </c>
      <c r="G69" s="111">
        <v>14634</v>
      </c>
      <c r="H69" s="111">
        <v>31812</v>
      </c>
      <c r="I69" s="111">
        <v>27540</v>
      </c>
    </row>
    <row r="71" spans="1:9" ht="28.5" x14ac:dyDescent="0.45">
      <c r="A71" s="610" t="s">
        <v>595</v>
      </c>
      <c r="B71" s="610"/>
      <c r="C71" s="610"/>
      <c r="D71" s="610"/>
      <c r="E71" s="610"/>
      <c r="F71" s="610"/>
    </row>
    <row r="72" spans="1:9" x14ac:dyDescent="0.3">
      <c r="B72" s="110" t="s">
        <v>153</v>
      </c>
    </row>
    <row r="73" spans="1:9" x14ac:dyDescent="0.3">
      <c r="A73" s="110" t="s">
        <v>151</v>
      </c>
      <c r="B73" s="193" t="s">
        <v>314</v>
      </c>
      <c r="C73" s="193" t="s">
        <v>564</v>
      </c>
      <c r="D73" s="193" t="s">
        <v>409</v>
      </c>
      <c r="E73" s="193" t="s">
        <v>315</v>
      </c>
      <c r="F73" s="193" t="s">
        <v>565</v>
      </c>
      <c r="G73" s="193" t="s">
        <v>316</v>
      </c>
      <c r="H73" s="193" t="s">
        <v>596</v>
      </c>
      <c r="I73" s="193" t="s">
        <v>597</v>
      </c>
    </row>
    <row r="74" spans="1:9" x14ac:dyDescent="0.3">
      <c r="A74" s="44">
        <v>1</v>
      </c>
      <c r="B74" s="111">
        <v>294</v>
      </c>
      <c r="C74" s="111">
        <v>11.675911949685526</v>
      </c>
      <c r="D74" s="111">
        <v>11.46</v>
      </c>
      <c r="E74" s="111">
        <v>774</v>
      </c>
      <c r="F74" s="111">
        <v>11.31060906515582</v>
      </c>
      <c r="G74" s="111">
        <v>10.99</v>
      </c>
      <c r="H74" s="111">
        <v>249</v>
      </c>
      <c r="I74" s="111">
        <v>229</v>
      </c>
    </row>
    <row r="75" spans="1:9" x14ac:dyDescent="0.3">
      <c r="A75" s="44">
        <v>2</v>
      </c>
      <c r="B75" s="111">
        <v>280</v>
      </c>
      <c r="C75" s="111">
        <v>11.51985212569315</v>
      </c>
      <c r="D75" s="111">
        <v>11.56</v>
      </c>
      <c r="E75" s="111">
        <v>406</v>
      </c>
      <c r="F75" s="111">
        <v>10.905352601156078</v>
      </c>
      <c r="G75" s="111">
        <v>11.3</v>
      </c>
      <c r="H75" s="111">
        <v>505</v>
      </c>
      <c r="I75" s="111">
        <v>383</v>
      </c>
    </row>
    <row r="76" spans="1:9" x14ac:dyDescent="0.3">
      <c r="A76" s="44">
        <v>3</v>
      </c>
      <c r="B76" s="111">
        <v>345</v>
      </c>
      <c r="C76" s="111">
        <v>12.005409252669036</v>
      </c>
      <c r="D76" s="111">
        <v>10.86</v>
      </c>
      <c r="E76" s="111">
        <v>263</v>
      </c>
      <c r="F76" s="111">
        <v>11.646857142857149</v>
      </c>
      <c r="G76" s="111">
        <v>10.52</v>
      </c>
      <c r="H76" s="111">
        <v>98</v>
      </c>
      <c r="I76" s="111">
        <v>131</v>
      </c>
    </row>
    <row r="77" spans="1:9" x14ac:dyDescent="0.3">
      <c r="A77" s="44">
        <v>4</v>
      </c>
      <c r="B77" s="111">
        <v>104</v>
      </c>
      <c r="C77" s="111">
        <v>12.35620087336244</v>
      </c>
      <c r="D77" s="111">
        <v>13.08</v>
      </c>
      <c r="E77" s="111">
        <v>139</v>
      </c>
      <c r="F77" s="111">
        <v>11.461564455569466</v>
      </c>
      <c r="G77" s="111">
        <v>12.14</v>
      </c>
      <c r="H77" s="111">
        <v>481</v>
      </c>
      <c r="I77" s="111">
        <v>441</v>
      </c>
    </row>
    <row r="78" spans="1:9" x14ac:dyDescent="0.3">
      <c r="A78" s="44">
        <v>5</v>
      </c>
      <c r="B78" s="111">
        <v>124</v>
      </c>
      <c r="C78" s="111">
        <v>12.578514619883043</v>
      </c>
      <c r="D78" s="111">
        <v>11.35</v>
      </c>
      <c r="E78" s="111">
        <v>164</v>
      </c>
      <c r="F78" s="111">
        <v>12.958377088305493</v>
      </c>
      <c r="G78" s="111">
        <v>11.33</v>
      </c>
      <c r="H78" s="111">
        <v>4666</v>
      </c>
      <c r="I78" s="111">
        <v>4000</v>
      </c>
    </row>
    <row r="79" spans="1:9" x14ac:dyDescent="0.3">
      <c r="A79" s="44">
        <v>6</v>
      </c>
      <c r="B79" s="111">
        <v>79</v>
      </c>
      <c r="C79" s="111">
        <v>14.005718749999991</v>
      </c>
      <c r="D79" s="111">
        <v>14.57</v>
      </c>
      <c r="E79" s="111">
        <v>169</v>
      </c>
      <c r="F79" s="111">
        <v>13.019763560500694</v>
      </c>
      <c r="G79" s="111">
        <v>10.8</v>
      </c>
      <c r="H79" s="111">
        <v>663</v>
      </c>
      <c r="I79" s="111">
        <v>597</v>
      </c>
    </row>
    <row r="80" spans="1:9" x14ac:dyDescent="0.3">
      <c r="A80" s="44">
        <v>7</v>
      </c>
      <c r="B80" s="111">
        <v>225</v>
      </c>
      <c r="C80" s="111">
        <v>12.883012048192766</v>
      </c>
      <c r="D80" s="111">
        <v>12.89</v>
      </c>
      <c r="E80" s="111">
        <v>445</v>
      </c>
      <c r="F80" s="111">
        <v>12.369439461883408</v>
      </c>
      <c r="G80" s="111">
        <v>12.31</v>
      </c>
      <c r="H80" s="111">
        <v>252</v>
      </c>
      <c r="I80" s="111">
        <v>152</v>
      </c>
    </row>
    <row r="81" spans="1:9" x14ac:dyDescent="0.3">
      <c r="A81" s="44">
        <v>8</v>
      </c>
      <c r="B81" s="111">
        <v>2048</v>
      </c>
      <c r="C81" s="111">
        <v>9.6833411214953422</v>
      </c>
      <c r="D81" s="111">
        <v>9.56</v>
      </c>
      <c r="E81" s="111">
        <v>2738</v>
      </c>
      <c r="F81" s="111">
        <v>10.062747658945256</v>
      </c>
      <c r="G81" s="111">
        <v>9.7899999999999991</v>
      </c>
      <c r="H81" s="111">
        <v>207</v>
      </c>
      <c r="I81" s="111">
        <v>172</v>
      </c>
    </row>
    <row r="82" spans="1:9" x14ac:dyDescent="0.3">
      <c r="A82" s="44">
        <v>9</v>
      </c>
      <c r="B82" s="111">
        <v>317</v>
      </c>
      <c r="C82" s="111">
        <v>9.7293387755102039</v>
      </c>
      <c r="D82" s="111">
        <v>9.48</v>
      </c>
      <c r="E82" s="111">
        <v>434</v>
      </c>
      <c r="F82" s="111">
        <v>9.702373923739243</v>
      </c>
      <c r="G82" s="111">
        <v>9.26</v>
      </c>
      <c r="H82" s="111">
        <v>239</v>
      </c>
      <c r="I82" s="111">
        <v>189</v>
      </c>
    </row>
    <row r="83" spans="1:9" x14ac:dyDescent="0.3">
      <c r="A83" s="44">
        <v>10</v>
      </c>
      <c r="B83" s="111">
        <v>190</v>
      </c>
      <c r="C83" s="111">
        <v>12.198549222797919</v>
      </c>
      <c r="D83" s="111">
        <v>11.03</v>
      </c>
      <c r="E83" s="111">
        <v>537</v>
      </c>
      <c r="F83" s="111">
        <v>11.102662251655627</v>
      </c>
      <c r="G83" s="111">
        <v>10.130000000000001</v>
      </c>
      <c r="H83" s="111">
        <v>38</v>
      </c>
      <c r="I83" s="111">
        <v>32</v>
      </c>
    </row>
    <row r="84" spans="1:9" x14ac:dyDescent="0.3">
      <c r="A84" s="44">
        <v>11</v>
      </c>
      <c r="B84" s="111">
        <v>772</v>
      </c>
      <c r="C84" s="111">
        <v>10.369852008456672</v>
      </c>
      <c r="D84" s="111">
        <v>9.52</v>
      </c>
      <c r="E84" s="111">
        <v>706</v>
      </c>
      <c r="F84" s="111">
        <v>10.847573812580231</v>
      </c>
      <c r="G84" s="111">
        <v>9.9499999999999993</v>
      </c>
      <c r="H84" s="111">
        <v>242</v>
      </c>
      <c r="I84" s="111">
        <v>267</v>
      </c>
    </row>
    <row r="85" spans="1:9" x14ac:dyDescent="0.3">
      <c r="A85" s="44">
        <v>12</v>
      </c>
      <c r="B85" s="111">
        <v>166</v>
      </c>
      <c r="C85" s="111">
        <v>11.95606598984771</v>
      </c>
      <c r="D85" s="111">
        <v>10.54</v>
      </c>
      <c r="E85" s="111">
        <v>104</v>
      </c>
      <c r="F85" s="111">
        <v>12.274135977337117</v>
      </c>
      <c r="G85" s="111">
        <v>11.7</v>
      </c>
      <c r="H85" s="111">
        <v>260</v>
      </c>
      <c r="I85" s="111">
        <v>267</v>
      </c>
    </row>
    <row r="86" spans="1:9" x14ac:dyDescent="0.3">
      <c r="A86" s="44" t="s">
        <v>152</v>
      </c>
      <c r="B86" s="111">
        <v>4944</v>
      </c>
      <c r="C86" s="111">
        <v>140.96176673759379</v>
      </c>
      <c r="D86" s="111">
        <v>135.9</v>
      </c>
      <c r="E86" s="111">
        <v>6879</v>
      </c>
      <c r="F86" s="111">
        <v>137.66145699968558</v>
      </c>
      <c r="G86" s="111">
        <v>130.22</v>
      </c>
      <c r="H86" s="111">
        <v>7900</v>
      </c>
      <c r="I86" s="111">
        <v>6860</v>
      </c>
    </row>
    <row r="88" spans="1:9" ht="26.25" x14ac:dyDescent="0.4">
      <c r="A88" s="644" t="s">
        <v>80</v>
      </c>
      <c r="B88" s="644"/>
      <c r="C88" s="644"/>
      <c r="D88" s="644"/>
      <c r="E88" s="644"/>
      <c r="F88" s="644"/>
      <c r="G88" s="644"/>
      <c r="H88" s="644"/>
      <c r="I88" s="644"/>
    </row>
    <row r="89" spans="1:9" x14ac:dyDescent="0.3">
      <c r="B89" s="110" t="s">
        <v>153</v>
      </c>
    </row>
    <row r="90" spans="1:9" x14ac:dyDescent="0.3">
      <c r="A90" s="110" t="s">
        <v>151</v>
      </c>
      <c r="B90" s="193" t="s">
        <v>242</v>
      </c>
      <c r="C90" s="193" t="s">
        <v>598</v>
      </c>
      <c r="D90" s="193" t="s">
        <v>240</v>
      </c>
      <c r="E90" s="193" t="s">
        <v>241</v>
      </c>
      <c r="F90" s="193" t="s">
        <v>599</v>
      </c>
    </row>
    <row r="91" spans="1:9" x14ac:dyDescent="0.3">
      <c r="A91" s="44">
        <v>1</v>
      </c>
      <c r="B91" s="111">
        <v>8.9004739336492893</v>
      </c>
      <c r="C91" s="111">
        <v>3387</v>
      </c>
      <c r="D91" s="111">
        <v>1249.83</v>
      </c>
      <c r="E91" s="111">
        <v>1542.26</v>
      </c>
      <c r="F91" s="111">
        <v>8942</v>
      </c>
    </row>
    <row r="92" spans="1:9" x14ac:dyDescent="0.3">
      <c r="A92" s="44">
        <v>2</v>
      </c>
      <c r="B92" s="111">
        <v>14.678030303030303</v>
      </c>
      <c r="C92" s="111">
        <v>6036</v>
      </c>
      <c r="D92" s="111">
        <v>1026.97</v>
      </c>
      <c r="E92" s="111">
        <v>1242.6600000000001</v>
      </c>
      <c r="F92" s="111">
        <v>16402</v>
      </c>
    </row>
    <row r="93" spans="1:9" x14ac:dyDescent="0.3">
      <c r="A93" s="44">
        <v>3</v>
      </c>
      <c r="B93" s="111">
        <v>14.69</v>
      </c>
      <c r="C93" s="111">
        <v>3672</v>
      </c>
      <c r="D93" s="111">
        <v>2225.06</v>
      </c>
      <c r="E93" s="111">
        <v>2721.12</v>
      </c>
      <c r="F93" s="111">
        <v>8618</v>
      </c>
    </row>
    <row r="94" spans="1:9" x14ac:dyDescent="0.3">
      <c r="A94" s="44">
        <v>4</v>
      </c>
      <c r="B94" s="111">
        <v>16.501766784452297</v>
      </c>
      <c r="C94" s="111">
        <v>7478</v>
      </c>
      <c r="D94" s="111">
        <v>641.57000000000005</v>
      </c>
      <c r="E94" s="111">
        <v>796.59</v>
      </c>
      <c r="F94" s="111">
        <v>31271</v>
      </c>
    </row>
    <row r="95" spans="1:9" x14ac:dyDescent="0.3">
      <c r="A95" s="44">
        <v>5</v>
      </c>
      <c r="B95" s="111">
        <v>15.134812286689419</v>
      </c>
      <c r="C95" s="111">
        <v>15184</v>
      </c>
      <c r="D95" s="111">
        <v>650.91999999999996</v>
      </c>
      <c r="E95" s="111">
        <v>758.53</v>
      </c>
      <c r="F95" s="111">
        <v>36680</v>
      </c>
    </row>
    <row r="96" spans="1:9" x14ac:dyDescent="0.3">
      <c r="A96" s="44">
        <v>6</v>
      </c>
      <c r="B96" s="111">
        <v>12.844155844155845</v>
      </c>
      <c r="C96" s="111">
        <v>6388</v>
      </c>
      <c r="D96" s="111">
        <v>502.19</v>
      </c>
      <c r="E96" s="111">
        <v>621.03</v>
      </c>
      <c r="F96" s="111">
        <v>15735</v>
      </c>
    </row>
    <row r="97" spans="1:6" x14ac:dyDescent="0.3">
      <c r="A97" s="44">
        <v>7</v>
      </c>
      <c r="B97" s="111">
        <v>12</v>
      </c>
      <c r="C97" s="111">
        <v>5401</v>
      </c>
      <c r="D97" s="111">
        <v>1693.87</v>
      </c>
      <c r="E97" s="111">
        <v>1888.03</v>
      </c>
      <c r="F97" s="111">
        <v>16999</v>
      </c>
    </row>
    <row r="98" spans="1:6" x14ac:dyDescent="0.3">
      <c r="A98" s="44">
        <v>8</v>
      </c>
      <c r="B98" s="111">
        <v>14.137254901960784</v>
      </c>
      <c r="C98" s="111">
        <v>6896</v>
      </c>
      <c r="D98" s="111">
        <v>2777.08</v>
      </c>
      <c r="E98" s="111">
        <v>3020.26</v>
      </c>
      <c r="F98" s="111">
        <v>19375</v>
      </c>
    </row>
    <row r="99" spans="1:6" x14ac:dyDescent="0.3">
      <c r="A99" s="44">
        <v>9</v>
      </c>
      <c r="B99" s="111">
        <v>17.760617760617759</v>
      </c>
      <c r="C99" s="111">
        <v>5052</v>
      </c>
      <c r="D99" s="111">
        <v>1250.44</v>
      </c>
      <c r="E99" s="111">
        <v>1425.46</v>
      </c>
      <c r="F99" s="111">
        <v>14885</v>
      </c>
    </row>
    <row r="100" spans="1:6" x14ac:dyDescent="0.3">
      <c r="A100" s="44">
        <v>10</v>
      </c>
      <c r="B100" s="111">
        <v>11.314285714285715</v>
      </c>
      <c r="C100" s="111">
        <v>2561</v>
      </c>
      <c r="D100" s="111">
        <v>1249.58</v>
      </c>
      <c r="E100" s="111">
        <v>1447.88</v>
      </c>
      <c r="F100" s="111">
        <v>9831</v>
      </c>
    </row>
    <row r="101" spans="1:6" x14ac:dyDescent="0.3">
      <c r="A101" s="44">
        <v>11</v>
      </c>
      <c r="B101" s="111">
        <v>8.1999999999999993</v>
      </c>
      <c r="C101" s="111">
        <v>4283</v>
      </c>
      <c r="D101" s="111">
        <v>3052.96</v>
      </c>
      <c r="E101" s="111">
        <v>3226.59</v>
      </c>
      <c r="F101" s="111">
        <v>11500</v>
      </c>
    </row>
    <row r="102" spans="1:6" x14ac:dyDescent="0.3">
      <c r="A102" s="44">
        <v>12</v>
      </c>
      <c r="B102" s="111">
        <v>15.600490196078431</v>
      </c>
      <c r="C102" s="111">
        <v>5658</v>
      </c>
      <c r="D102" s="111">
        <v>1153.5</v>
      </c>
      <c r="E102" s="111">
        <v>1427.22</v>
      </c>
      <c r="F102" s="111">
        <v>15217</v>
      </c>
    </row>
    <row r="103" spans="1:6" x14ac:dyDescent="0.3">
      <c r="A103" s="44" t="s">
        <v>152</v>
      </c>
      <c r="B103" s="111">
        <v>161.76188772491983</v>
      </c>
      <c r="C103" s="111">
        <v>71996</v>
      </c>
      <c r="D103" s="111">
        <v>17473.97</v>
      </c>
      <c r="E103" s="111">
        <v>20117.63</v>
      </c>
      <c r="F103" s="111">
        <v>205455</v>
      </c>
    </row>
    <row r="106" spans="1:6" ht="23.25" x14ac:dyDescent="0.35">
      <c r="A106" s="643"/>
      <c r="B106" s="643"/>
      <c r="C106" s="643"/>
      <c r="D106" s="643"/>
    </row>
  </sheetData>
  <mergeCells count="7">
    <mergeCell ref="A106:D106"/>
    <mergeCell ref="A88:I88"/>
    <mergeCell ref="A1:L1"/>
    <mergeCell ref="A36:E36"/>
    <mergeCell ref="A53:H53"/>
    <mergeCell ref="A71:F71"/>
    <mergeCell ref="A18:E18"/>
  </mergeCells>
  <pageMargins left="0.7" right="0.7" top="0.75" bottom="0.75" header="0.3" footer="0.3"/>
  <pageSetup orientation="portrait"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_DCDateModified xmlns="http://schemas.microsoft.com/sharepoint/v3/fields" xsi:nil="true"/>
    <SRDetail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26FA3260F9D2F489E80FD7C693DB6EB" ma:contentTypeVersion="4" ma:contentTypeDescription="Create a new document." ma:contentTypeScope="" ma:versionID="4649b73ff5e1b4aedeea332dada20675">
  <xsd:schema xmlns:xsd="http://www.w3.org/2001/XMLSchema" xmlns:p="http://schemas.microsoft.com/office/2006/metadata/properties" xmlns:ns1="http://schemas.microsoft.com/sharepoint/v3" xmlns:ns3="http://schemas.microsoft.com/sharepoint/v3/fields" targetNamespace="http://schemas.microsoft.com/office/2006/metadata/properties" ma:root="true" ma:fieldsID="eac2d370ac84932026093812315b5c24" ns1:_="" ns3:_="">
    <xsd:import namespace="http://schemas.microsoft.com/sharepoint/v3"/>
    <xsd:import namespace="http://schemas.microsoft.com/sharepoint/v3/fields"/>
    <xsd:element name="properties">
      <xsd:complexType>
        <xsd:sequence>
          <xsd:element name="documentManagement">
            <xsd:complexType>
              <xsd:all>
                <xsd:element ref="ns3:_DCDateModified" minOccurs="0"/>
                <xsd:element ref="ns1:SRDetail"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SRDetail" ma:index="10" nillable="true" ma:displayName="Details" ma:internalName="SRDetail">
      <xsd:simpleType>
        <xsd:restriction base="dms:Note"/>
      </xsd:simpleType>
    </xsd:element>
  </xsd:schema>
  <xsd:schema xmlns:xsd="http://www.w3.org/2001/XMLSchema" xmlns:dms="http://schemas.microsoft.com/office/2006/documentManagement/types" targetNamespace="http://schemas.microsoft.com/sharepoint/v3/fields" elementFormDefault="qualified">
    <xsd:import namespace="http://schemas.microsoft.com/office/2006/documentManagement/types"/>
    <xsd:element name="_DCDateModified" ma:index="9" nillable="true" ma:displayName="Date Modified" ma:description="The date on which this resource was last modified" ma:format="DateTime" ma:internalName="_DCDateModifi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E3B570F2-5A3C-4727-A514-5B2055D4CB00}">
  <ds:schemaRefs>
    <ds:schemaRef ds:uri="http://purl.org/dc/elements/1.1/"/>
    <ds:schemaRef ds:uri="http://schemas.microsoft.com/office/2006/documentManagement/types"/>
    <ds:schemaRef ds:uri="http://schemas.microsoft.com/office/2006/metadata/properties"/>
    <ds:schemaRef ds:uri="http://purl.org/dc/dcmitype/"/>
    <ds:schemaRef ds:uri="http://www.w3.org/XML/1998/namespace"/>
    <ds:schemaRef ds:uri="http://purl.org/dc/terms/"/>
    <ds:schemaRef ds:uri="http://schemas.openxmlformats.org/package/2006/metadata/core-properties"/>
    <ds:schemaRef ds:uri="http://schemas.microsoft.com/sharepoint/v3/fields"/>
    <ds:schemaRef ds:uri="http://schemas.microsoft.com/sharepoint/v3"/>
  </ds:schemaRefs>
</ds:datastoreItem>
</file>

<file path=customXml/itemProps2.xml><?xml version="1.0" encoding="utf-8"?>
<ds:datastoreItem xmlns:ds="http://schemas.openxmlformats.org/officeDocument/2006/customXml" ds:itemID="{0695CE5B-FCC4-465F-B1C3-E122DC6B823A}">
  <ds:schemaRefs>
    <ds:schemaRef ds:uri="http://schemas.microsoft.com/sharepoint/v3/contenttype/forms"/>
  </ds:schemaRefs>
</ds:datastoreItem>
</file>

<file path=customXml/itemProps3.xml><?xml version="1.0" encoding="utf-8"?>
<ds:datastoreItem xmlns:ds="http://schemas.openxmlformats.org/officeDocument/2006/customXml" ds:itemID="{7668522A-1016-4E08-A086-6C2F5984BE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fields"/>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Area Data</vt:lpstr>
      <vt:lpstr>Area Indicators</vt:lpstr>
      <vt:lpstr>Area Measures </vt:lpstr>
      <vt:lpstr>State Data</vt:lpstr>
      <vt:lpstr>State Indicators</vt:lpstr>
      <vt:lpstr>State Measures</vt:lpstr>
      <vt:lpstr>Definitions</vt:lpstr>
      <vt:lpstr>State PivotTables</vt:lpstr>
      <vt:lpstr>Area Pivot Tables</vt:lpstr>
      <vt:lpstr>MiscData</vt:lpstr>
      <vt:lpstr>Common Measures</vt:lpstr>
      <vt:lpstr>Lists</vt:lpstr>
      <vt:lpstr>WIA Title IB Charts</vt:lpstr>
      <vt:lpstr>Area</vt:lpstr>
      <vt:lpstr>Counties</vt:lpstr>
      <vt:lpstr>'Area Data'!Print_Area</vt:lpstr>
      <vt:lpstr>'Area Indicators'!Print_Area</vt:lpstr>
      <vt:lpstr>'Area Measures '!Print_Area</vt:lpstr>
      <vt:lpstr>Definitions!Print_Area</vt:lpstr>
      <vt:lpstr>'State Data'!Print_Area</vt:lpstr>
      <vt:lpstr>'State Indicators'!Print_Area</vt:lpstr>
      <vt:lpstr>'State Measures'!Print_Area</vt:lpstr>
      <vt:lpstr>qUARTERS</vt:lpstr>
    </vt:vector>
  </TitlesOfParts>
  <Company>ESD - State of Washington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swheeler</dc:creator>
  <cp:lastModifiedBy>Haglund, Robert (ESD)</cp:lastModifiedBy>
  <cp:lastPrinted>2012-08-17T20:54:06Z</cp:lastPrinted>
  <dcterms:created xsi:type="dcterms:W3CDTF">2011-05-03T22:22:40Z</dcterms:created>
  <dcterms:modified xsi:type="dcterms:W3CDTF">2014-08-20T15:35:16Z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0x010100D26FA3260F9D2F489E80FD7C693DB6EB</vt:lpwstr>
  </property>
</Properties>
</file>