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charts/chart8.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6.xml" ContentType="application/vnd.openxmlformats-officedocument.drawing+xml"/>
  <Override PartName="/xl/tables/table1.xml" ContentType="application/vnd.openxmlformats-officedocument.spreadsheetml.table+xml"/>
  <Override PartName="/xl/charts/chart17.xml" ContentType="application/vnd.openxmlformats-officedocument.drawingml.chart+xml"/>
  <Override PartName="/xl/charts/chart18.xml" ContentType="application/vnd.openxmlformats-officedocument.drawingml.chart+xml"/>
  <Override PartName="/xl/theme/themeOverride3.xml" ContentType="application/vnd.openxmlformats-officedocument.themeOverride+xml"/>
  <Override PartName="/xl/charts/chart19.xml" ContentType="application/vnd.openxmlformats-officedocument.drawingml.chart+xml"/>
  <Override PartName="/xl/pivotTables/pivotTable22.xml" ContentType="application/vnd.openxmlformats-officedocument.spreadsheetml.pivotTable+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PivotChartFilter="1" defaultThemeVersion="124226"/>
  <bookViews>
    <workbookView xWindow="795" yWindow="30" windowWidth="28350" windowHeight="12450" tabRatio="949"/>
  </bookViews>
  <sheets>
    <sheet name="Area Data" sheetId="57" r:id="rId1"/>
    <sheet name="Area Indicators" sheetId="83" r:id="rId2"/>
    <sheet name="Area Measures " sheetId="82" r:id="rId3"/>
    <sheet name="State Data" sheetId="77" r:id="rId4"/>
    <sheet name="State Indicators" sheetId="46" r:id="rId5"/>
    <sheet name="State Measures" sheetId="48" r:id="rId6"/>
    <sheet name="Definitions" sheetId="60" r:id="rId7"/>
    <sheet name="County Wages" sheetId="90" state="hidden" r:id="rId8"/>
    <sheet name="State PivotTables" sheetId="71" state="hidden" r:id="rId9"/>
    <sheet name="Area Pivot Tables" sheetId="81" state="hidden" r:id="rId10"/>
    <sheet name="DBPivot" sheetId="103" state="hidden" r:id="rId11"/>
    <sheet name="Common Measures" sheetId="65" state="hidden" r:id="rId12"/>
    <sheet name="PopAgeSexRacePivot" sheetId="89" state="hidden" r:id="rId13"/>
    <sheet name="Educational Attainment" sheetId="67" state="hidden" r:id="rId14"/>
    <sheet name="Lists" sheetId="70" state="hidden" r:id="rId15"/>
    <sheet name="WIA Title IB Charts" sheetId="78" state="hidden" r:id="rId16"/>
  </sheets>
  <externalReferences>
    <externalReference r:id="rId17"/>
  </externalReferences>
  <definedNames>
    <definedName name="Area" localSheetId="10">Lists!$A$2:$A$13</definedName>
    <definedName name="Area">Lists!$A$2:$A$13</definedName>
    <definedName name="Counties">Lists!$A$43:$D$82</definedName>
    <definedName name="eight">8</definedName>
    <definedName name="eleven">11</definedName>
    <definedName name="five">5</definedName>
    <definedName name="four">4</definedName>
    <definedName name="lss">[1]LinkToLss!$B$2:$J$1145</definedName>
    <definedName name="nine">9</definedName>
    <definedName name="_xlnm.Print_Area" localSheetId="0">'Area Data'!$A$1:$K$42</definedName>
    <definedName name="_xlnm.Print_Area" localSheetId="1">'Area Indicators'!$A$1:$L$21</definedName>
    <definedName name="_xlnm.Print_Area" localSheetId="2">'Area Measures '!$A$1:$L$26</definedName>
    <definedName name="_xlnm.Print_Area" localSheetId="6">Definitions!$A$36:$D$67</definedName>
    <definedName name="_xlnm.Print_Area" localSheetId="3">'State Data'!$A$1:$K$42</definedName>
    <definedName name="_xlnm.Print_Area" localSheetId="4">'State Indicators'!$A$1:$L$21</definedName>
    <definedName name="_xlnm.Print_Area" localSheetId="5">'State Measures'!$A$1:$L$26</definedName>
    <definedName name="qUARTERS" localSheetId="10">Lists!$A$16:$A$41</definedName>
    <definedName name="qUARTERS">Lists!$A$16:$A$41</definedName>
    <definedName name="seven">7</definedName>
    <definedName name="six">6</definedName>
    <definedName name="ten">10</definedName>
    <definedName name="three">3</definedName>
    <definedName name="twelve">12</definedName>
    <definedName name="two">2</definedName>
  </definedNames>
  <calcPr calcId="145621"/>
  <pivotCaches>
    <pivotCache cacheId="0" r:id="rId18"/>
    <pivotCache cacheId="1" r:id="rId19"/>
    <pivotCache cacheId="2" r:id="rId20"/>
    <pivotCache cacheId="3" r:id="rId21"/>
    <pivotCache cacheId="4" r:id="rId22"/>
    <pivotCache cacheId="5" r:id="rId23"/>
    <pivotCache cacheId="6" r:id="rId24"/>
    <pivotCache cacheId="7" r:id="rId25"/>
    <pivotCache cacheId="8" r:id="rId26"/>
    <pivotCache cacheId="9" r:id="rId27"/>
    <pivotCache cacheId="10" r:id="rId28"/>
    <pivotCache cacheId="11" r:id="rId29"/>
    <pivotCache cacheId="12" r:id="rId30"/>
    <pivotCache cacheId="13" r:id="rId31"/>
    <pivotCache cacheId="14" r:id="rId32"/>
    <pivotCache cacheId="15" r:id="rId33"/>
    <pivotCache cacheId="16" r:id="rId34"/>
    <pivotCache cacheId="17" r:id="rId35"/>
    <pivotCache cacheId="18" r:id="rId36"/>
    <pivotCache cacheId="19" r:id="rId37"/>
    <pivotCache cacheId="20" r:id="rId38"/>
    <pivotCache cacheId="21" r:id="rId39"/>
  </pivotCaches>
</workbook>
</file>

<file path=xl/calcChain.xml><?xml version="1.0" encoding="utf-8"?>
<calcChain xmlns="http://schemas.openxmlformats.org/spreadsheetml/2006/main">
  <c r="G20" i="77" l="1"/>
  <c r="M134" i="81"/>
  <c r="M135" i="81"/>
  <c r="M136" i="81"/>
  <c r="M137" i="81"/>
  <c r="M138" i="81"/>
  <c r="M139" i="81"/>
  <c r="M140" i="81"/>
  <c r="M141" i="81"/>
  <c r="M142" i="81"/>
  <c r="M143" i="81"/>
  <c r="M144" i="81"/>
  <c r="M145" i="81"/>
  <c r="M133" i="81"/>
  <c r="G39" i="77"/>
  <c r="K133" i="81"/>
  <c r="K134" i="81"/>
  <c r="K135" i="81"/>
  <c r="K136" i="81"/>
  <c r="K137" i="81"/>
  <c r="K138" i="81"/>
  <c r="K139" i="81"/>
  <c r="K140" i="81"/>
  <c r="K141" i="81"/>
  <c r="K142" i="81"/>
  <c r="K143" i="81"/>
  <c r="K144" i="81"/>
  <c r="K145" i="81"/>
  <c r="H133" i="81"/>
  <c r="I133" i="81"/>
  <c r="J133" i="81"/>
  <c r="H134" i="81"/>
  <c r="I134" i="81"/>
  <c r="J134" i="81"/>
  <c r="H135" i="81"/>
  <c r="I135" i="81"/>
  <c r="J135" i="81"/>
  <c r="H136" i="81"/>
  <c r="I136" i="81"/>
  <c r="J136" i="81"/>
  <c r="H137" i="81"/>
  <c r="I137" i="81"/>
  <c r="J137" i="81"/>
  <c r="H138" i="81"/>
  <c r="I138" i="81"/>
  <c r="J138" i="81"/>
  <c r="H139" i="81"/>
  <c r="I139" i="81"/>
  <c r="J139" i="81"/>
  <c r="H140" i="81"/>
  <c r="I140" i="81"/>
  <c r="J140" i="81"/>
  <c r="H141" i="81"/>
  <c r="I141" i="81"/>
  <c r="J141" i="81"/>
  <c r="H142" i="81"/>
  <c r="I142" i="81"/>
  <c r="J142" i="81"/>
  <c r="H143" i="81"/>
  <c r="I143" i="81"/>
  <c r="J143" i="81"/>
  <c r="H144" i="81"/>
  <c r="I144" i="81"/>
  <c r="J144" i="81"/>
  <c r="H145" i="81"/>
  <c r="I145" i="81"/>
  <c r="J145" i="81"/>
  <c r="G134" i="81"/>
  <c r="G135" i="81"/>
  <c r="G136" i="81"/>
  <c r="G137" i="81"/>
  <c r="G138" i="81"/>
  <c r="G139" i="81"/>
  <c r="G140" i="81"/>
  <c r="G141" i="81"/>
  <c r="G142" i="81"/>
  <c r="G143" i="81"/>
  <c r="G144" i="81"/>
  <c r="G145" i="81"/>
  <c r="G38" i="77" s="1"/>
  <c r="G133" i="81"/>
  <c r="G33" i="77"/>
  <c r="C26" i="77"/>
  <c r="N34" i="77"/>
  <c r="N33" i="77"/>
  <c r="C32" i="77"/>
  <c r="G23" i="77"/>
  <c r="G22" i="77"/>
  <c r="G21" i="77"/>
  <c r="D32" i="77"/>
  <c r="D26" i="77"/>
  <c r="N32" i="77"/>
  <c r="D28" i="77" l="1"/>
  <c r="C28" i="77"/>
  <c r="D53" i="65"/>
  <c r="C51" i="65"/>
  <c r="G37" i="77"/>
  <c r="C22" i="77"/>
  <c r="C40" i="77"/>
  <c r="C8" i="77"/>
  <c r="D33" i="77"/>
  <c r="C6" i="77"/>
  <c r="N28" i="77"/>
  <c r="C21" i="77"/>
  <c r="C7" i="77"/>
  <c r="N31" i="77"/>
  <c r="D30" i="77"/>
  <c r="C31" i="77"/>
  <c r="C17" i="77"/>
  <c r="C19" i="77"/>
  <c r="D22" i="77"/>
  <c r="C11" i="77"/>
  <c r="O33" i="77"/>
  <c r="C25" i="77"/>
  <c r="O26" i="77"/>
  <c r="O28" i="77"/>
  <c r="C30" i="77"/>
  <c r="C12" i="77"/>
  <c r="O29" i="77"/>
  <c r="C39" i="77"/>
  <c r="O34" i="77"/>
  <c r="C24" i="77"/>
  <c r="D31" i="77"/>
  <c r="O31" i="77"/>
  <c r="C20" i="77"/>
  <c r="C36" i="77"/>
  <c r="O30" i="77"/>
  <c r="C15" i="77"/>
  <c r="C16" i="77"/>
  <c r="D25" i="77"/>
  <c r="D21" i="77"/>
  <c r="C33" i="77"/>
  <c r="D19" i="77"/>
  <c r="C14" i="77"/>
  <c r="O32" i="77"/>
  <c r="C9" i="77"/>
  <c r="C42" i="77"/>
  <c r="C41" i="77"/>
  <c r="N26" i="77"/>
  <c r="N30" i="77"/>
  <c r="D20" i="77"/>
  <c r="C10" i="77"/>
  <c r="D24" i="77"/>
  <c r="C5" i="77"/>
  <c r="N29" i="77"/>
  <c r="C37" i="77" l="1"/>
  <c r="G20" i="57"/>
  <c r="K19" i="90"/>
  <c r="L19" i="90"/>
  <c r="M19" i="90" s="1"/>
  <c r="N19" i="90" l="1"/>
  <c r="M38" i="90"/>
  <c r="L38" i="90" s="1"/>
  <c r="K38" i="90" s="1"/>
  <c r="Q63" i="90"/>
  <c r="P63" i="90" s="1"/>
  <c r="O63" i="90" s="1"/>
  <c r="Q64" i="90"/>
  <c r="P64" i="90" s="1"/>
  <c r="O64" i="90" s="1"/>
  <c r="Q65" i="90"/>
  <c r="P65" i="90" s="1"/>
  <c r="O65" i="90" s="1"/>
  <c r="Q66" i="90"/>
  <c r="P66" i="90" s="1"/>
  <c r="O66" i="90" s="1"/>
  <c r="Q67" i="90"/>
  <c r="P67" i="90" s="1"/>
  <c r="O67" i="90" s="1"/>
  <c r="Q68" i="90"/>
  <c r="P68" i="90" s="1"/>
  <c r="O68" i="90" s="1"/>
  <c r="Q69" i="90"/>
  <c r="P69" i="90" s="1"/>
  <c r="O69" i="90" s="1"/>
  <c r="Q70" i="90"/>
  <c r="P70" i="90" s="1"/>
  <c r="O70" i="90" s="1"/>
  <c r="Q71" i="90"/>
  <c r="P71" i="90" s="1"/>
  <c r="O71" i="90" s="1"/>
  <c r="Q72" i="90"/>
  <c r="P72" i="90" s="1"/>
  <c r="O72" i="90" s="1"/>
  <c r="Q73" i="90"/>
  <c r="P73" i="90" s="1"/>
  <c r="O73" i="90" s="1"/>
  <c r="C52" i="65"/>
  <c r="E35" i="65"/>
  <c r="E34" i="65"/>
  <c r="F36" i="65"/>
  <c r="F53" i="65"/>
  <c r="E51" i="65"/>
  <c r="E52" i="65"/>
  <c r="J12" i="77"/>
  <c r="J8" i="77"/>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7" i="90"/>
  <c r="H5" i="90"/>
  <c r="G8" i="90"/>
  <c r="G9" i="90"/>
  <c r="G10" i="90"/>
  <c r="G11" i="90"/>
  <c r="G12" i="90"/>
  <c r="G13" i="90"/>
  <c r="G14" i="90"/>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7" i="90"/>
  <c r="G5" i="90"/>
  <c r="A8" i="90"/>
  <c r="A9" i="90"/>
  <c r="A10" i="90"/>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7" i="90"/>
  <c r="L12" i="90" l="1"/>
  <c r="K10" i="90"/>
  <c r="K12" i="90"/>
  <c r="K14" i="90"/>
  <c r="K16" i="90"/>
  <c r="K18" i="90"/>
  <c r="K9" i="90"/>
  <c r="K8" i="90"/>
  <c r="K11" i="90"/>
  <c r="K13" i="90"/>
  <c r="K15" i="90"/>
  <c r="K17" i="90"/>
  <c r="K7" i="90"/>
  <c r="L18" i="90"/>
  <c r="L17" i="90"/>
  <c r="L10" i="90"/>
  <c r="L8" i="90"/>
  <c r="L16" i="90"/>
  <c r="L15" i="90"/>
  <c r="L14" i="90"/>
  <c r="M14" i="90" s="1"/>
  <c r="L13" i="90"/>
  <c r="L11" i="90"/>
  <c r="L9" i="90"/>
  <c r="L7" i="90"/>
  <c r="Q62" i="90"/>
  <c r="P62" i="90" s="1"/>
  <c r="O62" i="90" s="1"/>
  <c r="G1" i="57"/>
  <c r="G1" i="77" s="1"/>
  <c r="G32" i="77"/>
  <c r="H26" i="77" l="1"/>
  <c r="M18" i="90"/>
  <c r="N18" i="90" s="1"/>
  <c r="M10" i="90"/>
  <c r="M29" i="90" s="1"/>
  <c r="M12" i="90"/>
  <c r="M31" i="90" s="1"/>
  <c r="M13" i="90"/>
  <c r="N13" i="90" s="1"/>
  <c r="M8" i="90"/>
  <c r="M27" i="90" s="1"/>
  <c r="M11" i="90"/>
  <c r="M30" i="90" s="1"/>
  <c r="M16" i="90"/>
  <c r="M35" i="90" s="1"/>
  <c r="M17" i="90"/>
  <c r="N17" i="90" s="1"/>
  <c r="M9" i="90"/>
  <c r="M28" i="90" s="1"/>
  <c r="M15" i="90"/>
  <c r="M34" i="90" s="1"/>
  <c r="N14" i="90"/>
  <c r="M33" i="90"/>
  <c r="M7" i="90"/>
  <c r="M26" i="90" s="1"/>
  <c r="K1" i="82"/>
  <c r="K1" i="46"/>
  <c r="K1" i="83"/>
  <c r="K1" i="48"/>
  <c r="I33" i="77"/>
  <c r="I34" i="77"/>
  <c r="I32" i="77"/>
  <c r="O27" i="77"/>
  <c r="I27" i="77" s="1"/>
  <c r="H32" i="77"/>
  <c r="H34" i="77"/>
  <c r="H33" i="77"/>
  <c r="N27" i="77"/>
  <c r="H27" i="77" s="1"/>
  <c r="I28" i="77"/>
  <c r="I29" i="77"/>
  <c r="I30" i="77"/>
  <c r="I31" i="77"/>
  <c r="H28" i="77"/>
  <c r="H29" i="77"/>
  <c r="H30" i="77"/>
  <c r="H31" i="77"/>
  <c r="J6" i="67"/>
  <c r="J7" i="67"/>
  <c r="J8" i="67"/>
  <c r="J9" i="67"/>
  <c r="J10" i="67"/>
  <c r="J11" i="67"/>
  <c r="J12" i="67"/>
  <c r="J13" i="67"/>
  <c r="J14" i="67"/>
  <c r="J15" i="67"/>
  <c r="J16" i="67"/>
  <c r="J5" i="67"/>
  <c r="C1" i="83"/>
  <c r="D1" i="82"/>
  <c r="H20" i="48"/>
  <c r="K25" i="48"/>
  <c r="K24" i="48"/>
  <c r="N12" i="90" l="1"/>
  <c r="M37" i="90"/>
  <c r="L37" i="90" s="1"/>
  <c r="K37" i="90" s="1"/>
  <c r="N10" i="90"/>
  <c r="N11" i="90"/>
  <c r="M36" i="90"/>
  <c r="L36" i="90" s="1"/>
  <c r="K36" i="90" s="1"/>
  <c r="M32" i="90"/>
  <c r="L32" i="90" s="1"/>
  <c r="K32" i="90" s="1"/>
  <c r="N8" i="90"/>
  <c r="N16" i="90"/>
  <c r="N15" i="90"/>
  <c r="N9" i="90"/>
  <c r="N7" i="90"/>
  <c r="L26" i="90"/>
  <c r="K26" i="90" s="1"/>
  <c r="L28" i="90"/>
  <c r="K28" i="90" s="1"/>
  <c r="L33" i="90"/>
  <c r="K33" i="90" s="1"/>
  <c r="L29" i="90"/>
  <c r="K29" i="90" s="1"/>
  <c r="L34" i="90"/>
  <c r="K34" i="90" s="1"/>
  <c r="L30" i="90"/>
  <c r="K30" i="90" s="1"/>
  <c r="L35" i="90"/>
  <c r="K35" i="90" s="1"/>
  <c r="L31" i="90"/>
  <c r="K31" i="90" s="1"/>
  <c r="L27" i="90"/>
  <c r="K27" i="90" s="1"/>
  <c r="C38" i="77"/>
  <c r="I20" i="46" s="1"/>
  <c r="L20" i="46"/>
  <c r="C20" i="46"/>
  <c r="G34" i="77"/>
  <c r="K23" i="48" s="1"/>
  <c r="K22" i="48"/>
  <c r="K21" i="48"/>
  <c r="K20" i="48"/>
  <c r="D29" i="77" l="1"/>
  <c r="F20" i="46"/>
  <c r="C29" i="77"/>
  <c r="I26" i="77" l="1"/>
  <c r="G26" i="77"/>
  <c r="G30" i="77" s="1"/>
  <c r="G27" i="77" l="1"/>
  <c r="G31" i="77"/>
  <c r="G29" i="77"/>
  <c r="G28" i="77"/>
  <c r="J20" i="77"/>
  <c r="I20" i="77"/>
  <c r="H20" i="77"/>
  <c r="J4" i="77"/>
  <c r="I23" i="77"/>
  <c r="J21" i="77"/>
  <c r="H22" i="77"/>
  <c r="J23" i="77"/>
  <c r="H23" i="77"/>
  <c r="J22" i="77"/>
  <c r="I21" i="77"/>
  <c r="I22" i="77"/>
  <c r="H21" i="77"/>
  <c r="J18" i="77" l="1"/>
  <c r="H18" i="77"/>
  <c r="J17" i="77"/>
  <c r="H17" i="77"/>
  <c r="J16" i="77"/>
  <c r="H16" i="77"/>
  <c r="J14" i="77"/>
  <c r="H14" i="77"/>
  <c r="J13" i="77"/>
  <c r="H13" i="77"/>
  <c r="J10" i="77"/>
  <c r="H10" i="77"/>
  <c r="J9" i="77"/>
  <c r="H9" i="77"/>
  <c r="J6" i="77"/>
  <c r="J5" i="77"/>
  <c r="I18" i="77"/>
  <c r="G18" i="77"/>
  <c r="I17" i="77"/>
  <c r="G17" i="77"/>
  <c r="I16" i="77"/>
  <c r="G16" i="77"/>
  <c r="I14" i="77"/>
  <c r="G14" i="77"/>
  <c r="I13" i="77"/>
  <c r="G13" i="77"/>
  <c r="I10" i="77"/>
  <c r="G10" i="77"/>
  <c r="I9" i="77"/>
  <c r="G9" i="77"/>
  <c r="I6" i="77"/>
  <c r="G6" i="77"/>
  <c r="I5" i="77"/>
  <c r="G5" i="77"/>
  <c r="H6" i="77"/>
  <c r="H5" i="77"/>
  <c r="I24" i="77"/>
  <c r="H24" i="77"/>
  <c r="D17" i="77"/>
  <c r="D16" i="77"/>
  <c r="D15" i="77"/>
  <c r="D14" i="77"/>
  <c r="D12" i="77"/>
  <c r="D11" i="77"/>
  <c r="D10" i="77"/>
  <c r="D9" i="77"/>
  <c r="D8" i="77"/>
  <c r="D7" i="77"/>
  <c r="D6" i="77"/>
  <c r="J20" i="57"/>
  <c r="I20" i="57"/>
  <c r="H20" i="57"/>
  <c r="J12" i="57"/>
  <c r="A1" i="57"/>
  <c r="J22" i="57"/>
  <c r="J21" i="57"/>
  <c r="J24" i="77" l="1"/>
  <c r="I25" i="57"/>
  <c r="J25" i="57"/>
  <c r="H25" i="57"/>
  <c r="G36" i="57"/>
  <c r="G37" i="57" s="1"/>
  <c r="A140" i="65"/>
  <c r="G39" i="57"/>
  <c r="K24" i="82" s="1"/>
  <c r="G40" i="57"/>
  <c r="E141" i="65"/>
  <c r="J142" i="65"/>
  <c r="F142" i="65"/>
  <c r="J140" i="65"/>
  <c r="F140" i="65"/>
  <c r="C141" i="65"/>
  <c r="H141" i="65"/>
  <c r="D141" i="65"/>
  <c r="I142" i="65"/>
  <c r="E142" i="65"/>
  <c r="I140" i="65"/>
  <c r="E140" i="65"/>
  <c r="K141" i="65"/>
  <c r="G141" i="65"/>
  <c r="C142" i="65"/>
  <c r="H142" i="65"/>
  <c r="D142" i="65"/>
  <c r="H140" i="65"/>
  <c r="D140" i="65"/>
  <c r="J141" i="65"/>
  <c r="F141" i="65"/>
  <c r="K142" i="65"/>
  <c r="G142" i="65"/>
  <c r="C140" i="65"/>
  <c r="G140" i="65"/>
  <c r="K140" i="65"/>
  <c r="I141" i="65"/>
  <c r="G24" i="77"/>
  <c r="G38" i="57"/>
  <c r="G17" i="57"/>
  <c r="G18" i="57"/>
  <c r="G16" i="57"/>
  <c r="K25" i="82"/>
  <c r="J18" i="57"/>
  <c r="J16" i="57"/>
  <c r="I17" i="57"/>
  <c r="H18" i="57"/>
  <c r="H16" i="57"/>
  <c r="J17" i="57"/>
  <c r="I18" i="57"/>
  <c r="I16" i="57"/>
  <c r="H17" i="57"/>
  <c r="H6" i="57"/>
  <c r="J6" i="57"/>
  <c r="E44" i="65" s="1"/>
  <c r="J9" i="57"/>
  <c r="E40" i="65" s="1"/>
  <c r="I9" i="57"/>
  <c r="H9" i="57"/>
  <c r="I14" i="57"/>
  <c r="D46" i="65" s="1"/>
  <c r="J13" i="57"/>
  <c r="H13" i="57"/>
  <c r="G13" i="57"/>
  <c r="G9" i="57"/>
  <c r="H5" i="57"/>
  <c r="I5" i="57"/>
  <c r="C39" i="65" s="1"/>
  <c r="I6" i="57"/>
  <c r="C44" i="65" s="1"/>
  <c r="J10" i="57"/>
  <c r="I10" i="57"/>
  <c r="H10" i="57"/>
  <c r="J14" i="57"/>
  <c r="F46" i="65" s="1"/>
  <c r="H14" i="57"/>
  <c r="I13" i="57"/>
  <c r="G14" i="57"/>
  <c r="G10" i="57"/>
  <c r="G6" i="57"/>
  <c r="J5" i="57"/>
  <c r="E39" i="65" s="1"/>
  <c r="G5" i="57"/>
  <c r="H1" i="57"/>
  <c r="H21" i="57"/>
  <c r="H23" i="57"/>
  <c r="D25" i="57"/>
  <c r="N32" i="57"/>
  <c r="C25" i="57"/>
  <c r="D22" i="57"/>
  <c r="D31" i="57"/>
  <c r="C7" i="57"/>
  <c r="C17" i="57"/>
  <c r="C16" i="57"/>
  <c r="O30" i="57"/>
  <c r="C5" i="57"/>
  <c r="O26" i="57"/>
  <c r="C12" i="57"/>
  <c r="C10" i="57"/>
  <c r="M26" i="57"/>
  <c r="C41" i="57"/>
  <c r="G21" i="57"/>
  <c r="G23" i="57"/>
  <c r="M28" i="57"/>
  <c r="D21" i="57"/>
  <c r="C15" i="57"/>
  <c r="N31" i="57"/>
  <c r="C22" i="57"/>
  <c r="C18" i="57"/>
  <c r="C13" i="57"/>
  <c r="M27" i="57"/>
  <c r="C40" i="57"/>
  <c r="C23" i="57"/>
  <c r="O29" i="57"/>
  <c r="C42" i="57"/>
  <c r="J23" i="57"/>
  <c r="H22" i="57"/>
  <c r="I22" i="57"/>
  <c r="C39" i="57"/>
  <c r="C32" i="57"/>
  <c r="C11" i="57"/>
  <c r="I23" i="57"/>
  <c r="D23" i="57"/>
  <c r="C34" i="57"/>
  <c r="C33" i="57"/>
  <c r="O32" i="57"/>
  <c r="N26" i="57"/>
  <c r="N30" i="57"/>
  <c r="C26" i="57"/>
  <c r="D20" i="57"/>
  <c r="O34" i="57"/>
  <c r="C9" i="57"/>
  <c r="N33" i="57"/>
  <c r="G22" i="57"/>
  <c r="I21" i="57"/>
  <c r="C21" i="57"/>
  <c r="D26" i="57"/>
  <c r="N34" i="57"/>
  <c r="C27" i="57"/>
  <c r="C31" i="57"/>
  <c r="O28" i="57"/>
  <c r="D27" i="57"/>
  <c r="O33" i="57"/>
  <c r="M29" i="57"/>
  <c r="N29" i="57"/>
  <c r="D33" i="57"/>
  <c r="C6" i="57"/>
  <c r="N28" i="57"/>
  <c r="D34" i="57"/>
  <c r="C36" i="57"/>
  <c r="O31" i="57"/>
  <c r="D32" i="57"/>
  <c r="C20" i="57"/>
  <c r="M30" i="57"/>
  <c r="C29" i="57" l="1"/>
  <c r="D29" i="57"/>
  <c r="C38" i="57"/>
  <c r="I20" i="83" s="1"/>
  <c r="C30" i="57"/>
  <c r="L20" i="83"/>
  <c r="I33" i="57"/>
  <c r="H34" i="57"/>
  <c r="H27" i="57"/>
  <c r="N27" i="57"/>
  <c r="H33" i="57"/>
  <c r="I34" i="57"/>
  <c r="O27" i="57"/>
  <c r="C20" i="83"/>
  <c r="M32" i="57"/>
  <c r="K21" i="82"/>
  <c r="D30" i="57"/>
  <c r="I31" i="57"/>
  <c r="C37" i="57"/>
  <c r="F20" i="83" s="1"/>
  <c r="H30" i="57"/>
  <c r="H31" i="57"/>
  <c r="I29" i="57"/>
  <c r="M34" i="57"/>
  <c r="D7" i="57"/>
  <c r="D9" i="57"/>
  <c r="D16" i="57"/>
  <c r="D17" i="57"/>
  <c r="C45" i="65"/>
  <c r="D18" i="57"/>
  <c r="D41" i="65"/>
  <c r="D15" i="57"/>
  <c r="C40" i="65"/>
  <c r="H12" i="57"/>
  <c r="F24" i="82" s="1"/>
  <c r="G8" i="57"/>
  <c r="H4" i="57"/>
  <c r="G12" i="57"/>
  <c r="E24" i="82" s="1"/>
  <c r="H8" i="57"/>
  <c r="G4" i="57"/>
  <c r="K5" i="67"/>
  <c r="K6" i="67"/>
  <c r="K7" i="67"/>
  <c r="K8" i="67"/>
  <c r="K9" i="67"/>
  <c r="K10" i="67"/>
  <c r="K11" i="67"/>
  <c r="K12" i="67"/>
  <c r="K13" i="67"/>
  <c r="K14" i="67"/>
  <c r="K15" i="67"/>
  <c r="K16" i="67"/>
  <c r="B18" i="67"/>
  <c r="C18" i="67"/>
  <c r="D18" i="67"/>
  <c r="E18" i="67"/>
  <c r="F18" i="67"/>
  <c r="G18" i="67"/>
  <c r="H18" i="67"/>
  <c r="I18" i="67"/>
  <c r="B19" i="67"/>
  <c r="C19" i="67"/>
  <c r="D19" i="67"/>
  <c r="E19" i="67"/>
  <c r="F19" i="67"/>
  <c r="G19" i="67"/>
  <c r="H19" i="67"/>
  <c r="I19" i="67"/>
  <c r="B20" i="67"/>
  <c r="C20" i="67"/>
  <c r="D20" i="67"/>
  <c r="E20" i="67"/>
  <c r="F20" i="67"/>
  <c r="G20" i="67"/>
  <c r="H20" i="67"/>
  <c r="I20" i="67"/>
  <c r="K20" i="67"/>
  <c r="B21" i="67"/>
  <c r="C21" i="67"/>
  <c r="D21" i="67"/>
  <c r="E21" i="67"/>
  <c r="F21" i="67"/>
  <c r="G21" i="67"/>
  <c r="H21" i="67"/>
  <c r="I21" i="67"/>
  <c r="K21" i="67" s="1"/>
  <c r="B22" i="67"/>
  <c r="C22" i="67"/>
  <c r="D22" i="67"/>
  <c r="E22" i="67"/>
  <c r="F22" i="67"/>
  <c r="G22" i="67"/>
  <c r="H22" i="67"/>
  <c r="I22" i="67"/>
  <c r="K22" i="67" s="1"/>
  <c r="B23" i="67"/>
  <c r="C23" i="67"/>
  <c r="D23" i="67"/>
  <c r="E23" i="67"/>
  <c r="F23" i="67"/>
  <c r="G23" i="67"/>
  <c r="H23" i="67"/>
  <c r="I23" i="67"/>
  <c r="B24" i="67"/>
  <c r="C24" i="67"/>
  <c r="D24" i="67"/>
  <c r="E24" i="67"/>
  <c r="F24" i="67"/>
  <c r="G24" i="67"/>
  <c r="H24" i="67"/>
  <c r="I24" i="67"/>
  <c r="K24" i="67" s="1"/>
  <c r="B25" i="67"/>
  <c r="C25" i="67"/>
  <c r="D25" i="67"/>
  <c r="E25" i="67"/>
  <c r="F25" i="67"/>
  <c r="G25" i="67"/>
  <c r="H25" i="67"/>
  <c r="I25" i="67"/>
  <c r="B26" i="67"/>
  <c r="C26" i="67"/>
  <c r="D26" i="67"/>
  <c r="E26" i="67"/>
  <c r="F26" i="67"/>
  <c r="G26" i="67"/>
  <c r="H26" i="67"/>
  <c r="I26" i="67"/>
  <c r="B27" i="67"/>
  <c r="C27" i="67"/>
  <c r="D27" i="67"/>
  <c r="E27" i="67"/>
  <c r="F27" i="67"/>
  <c r="G27" i="67"/>
  <c r="H27" i="67"/>
  <c r="I27" i="67"/>
  <c r="B28" i="67"/>
  <c r="C28" i="67"/>
  <c r="D28" i="67"/>
  <c r="E28" i="67"/>
  <c r="F28" i="67"/>
  <c r="G28" i="67"/>
  <c r="H28" i="67"/>
  <c r="I28" i="67"/>
  <c r="B29" i="67"/>
  <c r="C29" i="67"/>
  <c r="D29" i="67"/>
  <c r="E29" i="67"/>
  <c r="F29" i="67"/>
  <c r="G29" i="67"/>
  <c r="H29" i="67"/>
  <c r="I29" i="67"/>
  <c r="M33" i="57" l="1"/>
  <c r="G33" i="57"/>
  <c r="K22" i="82" s="1"/>
  <c r="K28" i="67"/>
  <c r="K27" i="67"/>
  <c r="K25" i="67"/>
  <c r="K18" i="67"/>
  <c r="K29" i="67"/>
  <c r="K26" i="67"/>
  <c r="K23" i="67"/>
  <c r="K19" i="67"/>
  <c r="I32" i="57"/>
  <c r="H28" i="57"/>
  <c r="H32" i="57"/>
  <c r="I30" i="57"/>
  <c r="I28" i="57"/>
  <c r="H29" i="57"/>
  <c r="G34" i="57"/>
  <c r="K23" i="82" s="1"/>
  <c r="E22" i="82"/>
  <c r="E23" i="82"/>
  <c r="F23" i="82"/>
  <c r="F22" i="82"/>
  <c r="I24" i="57"/>
  <c r="H24" i="57"/>
  <c r="G24" i="57"/>
  <c r="J24" i="57"/>
  <c r="H12" i="77"/>
  <c r="F24" i="48" s="1"/>
  <c r="G12" i="77"/>
  <c r="E24" i="48" s="1"/>
  <c r="H8" i="77"/>
  <c r="F23" i="48" s="1"/>
  <c r="G8" i="77"/>
  <c r="E23" i="48" s="1"/>
  <c r="H4" i="77"/>
  <c r="F22" i="48" s="1"/>
  <c r="G4" i="77"/>
  <c r="E22" i="48" s="1"/>
  <c r="I12" i="57"/>
  <c r="D36" i="65" s="1"/>
  <c r="I8" i="57"/>
  <c r="C35" i="65" s="1"/>
  <c r="I4" i="57"/>
  <c r="C34" i="65" s="1"/>
  <c r="K20" i="82"/>
  <c r="I4" i="77" l="1"/>
  <c r="I8" i="77"/>
  <c r="I12" i="77"/>
  <c r="I27" i="57"/>
  <c r="G27" i="57"/>
  <c r="D6" i="57"/>
  <c r="E45" i="65" s="1"/>
  <c r="D11" i="57"/>
  <c r="D12" i="57"/>
  <c r="D13" i="57"/>
  <c r="D10" i="57"/>
  <c r="F41" i="65" s="1"/>
  <c r="G32" i="57" l="1"/>
  <c r="G30" i="57"/>
  <c r="G28" i="57"/>
  <c r="G31" i="57"/>
  <c r="G29" i="57"/>
</calcChain>
</file>

<file path=xl/comments1.xml><?xml version="1.0" encoding="utf-8"?>
<comments xmlns="http://schemas.openxmlformats.org/spreadsheetml/2006/main">
  <authors>
    <author>swheeler</author>
  </authors>
  <commentList>
    <comment ref="B1" authorId="0">
      <text>
        <r>
          <rPr>
            <sz val="10"/>
            <color indexed="81"/>
            <rFont val="Calibri"/>
            <family val="2"/>
            <scheme val="minor"/>
          </rPr>
          <t xml:space="preserve">
</t>
        </r>
        <r>
          <rPr>
            <b/>
            <sz val="14"/>
            <color indexed="81"/>
            <rFont val="Calibri"/>
            <family val="2"/>
            <scheme val="minor"/>
          </rPr>
          <t>Use this drop down box to change areas.</t>
        </r>
      </text>
    </comment>
    <comment ref="G32" authorId="0">
      <text>
        <r>
          <rPr>
            <b/>
            <sz val="10"/>
            <color indexed="81"/>
            <rFont val="Tahoma"/>
            <family val="2"/>
          </rPr>
          <t>Disability information is unavailable at this time.</t>
        </r>
        <r>
          <rPr>
            <sz val="10"/>
            <color indexed="81"/>
            <rFont val="Tahoma"/>
            <family val="2"/>
          </rPr>
          <t xml:space="preserve">
</t>
        </r>
      </text>
    </comment>
  </commentList>
</comments>
</file>

<file path=xl/comments2.xml><?xml version="1.0" encoding="utf-8"?>
<comments xmlns="http://schemas.openxmlformats.org/spreadsheetml/2006/main">
  <authors>
    <author>swheeler</author>
  </authors>
  <commentList>
    <comment ref="N25" authorId="0">
      <text>
        <r>
          <rPr>
            <b/>
            <sz val="8"/>
            <color indexed="81"/>
            <rFont val="Tahoma"/>
            <family val="2"/>
          </rPr>
          <t>swheeler:</t>
        </r>
        <r>
          <rPr>
            <sz val="8"/>
            <color indexed="81"/>
            <rFont val="Tahoma"/>
            <family val="2"/>
          </rPr>
          <t xml:space="preserve">
previous py</t>
        </r>
      </text>
    </comment>
  </commentList>
</comments>
</file>

<file path=xl/connections.xml><?xml version="1.0" encoding="utf-8"?>
<connections xmlns="http://schemas.openxmlformats.org/spreadsheetml/2006/main">
  <connection id="1" sourceFile="\\esd1floly02\users\SWheeler\Shared Folder\Databases\DASHBOARD.accdb" keepAlive="1" name="DASHBOARD"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ountOfStaffAssistedCustomers" commandType="3"/>
  </connection>
  <connection id="2" sourceFile="\\esd1floly02\users\SWheeler\Shared Folder\Databases\DASHBOARD.accdb" keepAlive="1" name="DASHBOARD1"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able" commandType="3"/>
  </connection>
  <connection id="3" sourceFile="\\esd1floly02\users\SWheeler\Shared Folder\Databases\DASHBOARD.accdb" keepAlive="1" name="DASHBOARD10"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 wages table" commandType="3"/>
  </connection>
  <connection id="4" sourceFile="\\esd1floly02\users\SWheeler\Shared Folder\Databases\DASHBOARD.accdb" keepAlive="1" name="DASHBOARD11"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CountTable" commandType="3"/>
  </connection>
  <connection id="5" sourceFile="\\esd1floly02\users\SWheeler\Shared Folder\Databases\DASHBOARD.accdb" keepAlive="1" name="DASHBOARD12"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 wages table" commandType="3"/>
  </connection>
  <connection id="6" sourceFile="\\esd1floly02\users\SWheeler\Shared Folder\Databases\DASHBOARD.accdb" keepAlive="1" name="DASHBOARD13"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lacement wages table" commandType="3"/>
  </connection>
  <connection id="7" sourceFile="\\esd1floly02\users\SWheeler\Shared Folder\Databases\DASHBOARD.accdb" keepAlive="1" name="DASHBOARD14"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8" sourceFile="\\esd1floly02\users\SWheeler\Shared Folder\Databases\DASHBOARD.accdb" keepAlive="1" name="DASHBOARD15"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FinalDonetTable" commandType="3"/>
  </connection>
  <connection id="9" sourceFile="\\esd1floly02\users\SWheeler\Shared Folder\Databases\DASHBOARD.accdb" keepAlive="1" name="DASHBOARD16"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PlacementCountTable" commandType="3"/>
  </connection>
  <connection id="10" sourceFile="\\esd1floly02\users\SWheeler\Shared Folder\Databases\DASHBOARD.accdb" keepAlive="1" name="DASHBOARD17"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Placement wages table" commandType="3"/>
  </connection>
  <connection id="11" sourceFile="\\esd1floly02\users\SWheeler\Shared Folder\Databases\DASHBOARD.accdb" keepAlive="1" name="DASHBOARD18"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12" sourceFile="\\esd1floly02\users\SWheeler\Shared Folder\Databases\DASHBOARD.accdb" keepAlive="1" name="DASHBOARD19"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 id="13" sourceFile="\\esd1floly02\users\SWheeler\Shared Folder\Databases\State DASHBOARD.accdb" keepAlive="1" name="DASHBOARD2" type="5" refreshedVersion="3" background="1" saveData="1">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14" sourceFile="\\esd1floly02\users\SWheeler\Shared Folder\Databases\DASHBOARD.accdb" keepAlive="1" name="DASHBOARD20"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EducationTable" commandType="3"/>
  </connection>
  <connection id="15" sourceFile="\\esd1floly02\users\SWheeler\Shared Folder\Databases\DASHBOARD.accdb" keepAlive="1" name="DASHBOARD21" type="5" refreshedVersion="3" saveData="1">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16" sourceFile="\\esd1floly02\users\SWheeler\Shared Folder\Databases\DASHBOARD.accdb" keepAlive="1" name="DASHBOARD3"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 id="17" sourceFile="\\esd1floly02\users\SWheeler\Shared Folder\Databases\DASHBOARD.accdb" keepAlive="1" name="DASHBOARD4"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18" sourceFile="\\esd1floly02\users\SWheeler\Shared Folder\Databases\DASHBOARD.accdb" keepAlive="1" name="DASHBOARD5"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able" commandType="3"/>
  </connection>
  <connection id="19" sourceFile="\\esd1floly02\users\SWheeler\Shared Folder\Databases\DASHBOARD.accdb" keepAlive="1" name="DASHBOARD6"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20" sourceFile="\\esd1floly02\users\SWheeler\Shared Folder\Databases\DASHBOARD.accdb" keepAlive="1" name="DASHBOARD7"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 id="21" sourceFile="\\esd1floly02\users\SWheeler\Shared Folder\Databases\DASHBOARD.accdb" keepAlive="1" name="DASHBOARD8"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22" sourceFile="\\esd1floly02\users\SWheeler\Shared Folder\Databases\DASHBOARD.accdb" keepAlive="1" name="DASHBOARD9" type="5" refreshedVersion="3">
    <dbPr connection="Provider=Microsoft.ACE.OLEDB.12.0;User ID=Admin;Data Source=\\esd1floly02\users\SWheeler\Shared Folder\Databases\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DonetTable" commandType="3"/>
  </connection>
  <connection id="23" sourceFile="\\esd1floly02\users\SWheeler\Shared Folder\Databases\State DASHBOARD.accdb" keepAlive="1" name="State DASHBOARD"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otals" commandType="3"/>
  </connection>
  <connection id="24" sourceFile="\\esd1floly02\users\SWheeler\Shared Folder\Databases\State DASHBOARD.accdb" odcFile="\\esd1floly02\users\swheeler\My Documents\My Data Sources\State DASHBOARD MgtIndState.odc" keepAlive="1" name="State DASHBOARD MgtIndState"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State" commandType="3"/>
  </connection>
  <connection id="25" sourceFile="\\esd1floly02\users\SWheeler\Shared Folder\Databases\State DASHBOARD.accdb" keepAlive="1" name="State DASHBOARD1"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 id="26" sourceFile="\\esd1floly02\users\SWheeler\Shared Folder\Databases\State DASHBOARD.accdb" keepAlive="1" name="State DASHBOARD10"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27" sourceFile="\\esd1floly02\users\SWheeler\Shared Folder\Databases\State DASHBOARD.accdb" keepAlive="1" name="State DASHBOARD11"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4FinalJobOrderstable" commandType="3"/>
  </connection>
  <connection id="28" sourceFile="\\esd1floly02\users\SWheeler\Shared Folder\Databases\State DASHBOARD.accdb" keepAlive="1" name="State DASHBOARD12" type="5" refreshedVersion="3">
    <dbPr connection="Provider=Microsoft.ACE.OLEDB.12.0;User ID=Admin;Data Source=\\esd1floly02\users\SWheeler\Shared Folder\Databases\State DASHBOARD.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BottomBarTAble" commandType="3"/>
  </connection>
  <connection id="29" sourceFile="\\esd1floly02\users\SWheeler\Shared Folder\Databases\State DASHBOARD.accdb" keepAlive="1" name="State DASHBOARD13"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Table" commandType="3"/>
  </connection>
  <connection id="30" sourceFile="\\esd1floly02\users\SWheeler\Shared Folder\Databases\State DASHBOARD.accdb" keepAlive="1" name="State DASHBOARD14"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WIAFINALTABLE" commandType="3"/>
  </connection>
  <connection id="31" sourceFile="\\esd1floly02\users\SWheeler\Shared Folder\Databases\State DASHBOARD.accdb" keepAlive="1" name="State DASHBOARD15"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ducation Table" commandType="3"/>
  </connection>
  <connection id="32" sourceFile="\\esd1floly02\users\SWheeler\Shared Folder\Databases\State DASHBOARD.accdb" keepAlive="1" name="State DASHBOARD16"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EducationTable" commandType="3"/>
  </connection>
  <connection id="33" sourceFile="\\esd1floly02\users\SWheeler\Shared Folder\Databases\State DASHBOARD.accdb" keepAlive="1" name="State DASHBOARD2"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mployerServicesTable" commandType="3"/>
  </connection>
  <connection id="34" sourceFile="\\esd1floly02\users\SWheeler\Shared Folder\Databases\State DASHBOARD.accdb" keepAlive="1" name="State DASHBOARD3"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JobOrdersTable" commandType="3"/>
  </connection>
  <connection id="35" sourceFile="\\esd1floly02\users\SWheeler\Shared Folder\Databases\State DASHBOARD.accdb" keepAlive="1" name="State DASHBOARD4"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IndicatorsBottomBarTable" commandType="3"/>
  </connection>
  <connection id="36" sourceFile="\\esd1floly02\users\SWheeler\Shared Folder\Databases\State DASHBOARD.accdb" keepAlive="1" name="State DASHBOARD5"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OFINAL Table" commandType="3"/>
  </connection>
  <connection id="37" sourceFile="\\esd1floly02\users\SWheeler\Shared Folder\Databases\State DASHBOARD.accdb" keepAlive="1" name="State DASHBOARD6"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6LastYearJobOrderChart table" commandType="3"/>
  </connection>
  <connection id="38" sourceFile="\\esd1floly02\users\SWheeler\Shared Folder\Databases\State DASHBOARD.accdb" keepAlive="1" name="State DASHBOARD7"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CustomerFlowTable" commandType="3"/>
  </connection>
  <connection id="39" sourceFile="\\esd1floly02\users\SWheeler\Shared Folder\Databases\State DASHBOARD.accdb" keepAlive="1" name="State DASHBOARD8"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MgtIndTable" commandType="3"/>
  </connection>
  <connection id="40" sourceFile="\\esd1floly02\users\SWheeler\Shared Folder\Databases\State DASHBOARD.accdb" keepAlive="1" name="State DASHBOARD9" type="5" refreshedVersion="3">
    <dbPr connection="Provider=Microsoft.ACE.OLEDB.12.0;User ID=Admin;Data Source=\\esd1floly02\users\SWheeler\Shared Folder\Databases\State DASHBOARD.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ProgramChartTable" commandType="3"/>
  </connection>
</connections>
</file>

<file path=xl/sharedStrings.xml><?xml version="1.0" encoding="utf-8"?>
<sst xmlns="http://schemas.openxmlformats.org/spreadsheetml/2006/main" count="1558" uniqueCount="736">
  <si>
    <t>Area</t>
  </si>
  <si>
    <t>Entered Employment</t>
  </si>
  <si>
    <t>Retention Rate</t>
  </si>
  <si>
    <t>Average Earnings</t>
  </si>
  <si>
    <t>WIA Youth</t>
  </si>
  <si>
    <t>Certificate Rate</t>
  </si>
  <si>
    <t>Literacy/Numeracy Rate</t>
  </si>
  <si>
    <t>Placement Rate</t>
  </si>
  <si>
    <t>All Customers</t>
  </si>
  <si>
    <t>WA Job Openings</t>
  </si>
  <si>
    <t>Total</t>
  </si>
  <si>
    <t>Adult</t>
  </si>
  <si>
    <t>Skill Development</t>
  </si>
  <si>
    <t>Male</t>
  </si>
  <si>
    <t>Female</t>
  </si>
  <si>
    <t>WIA Participants</t>
  </si>
  <si>
    <t>WIA Enrolled</t>
  </si>
  <si>
    <t>Served by Staff</t>
  </si>
  <si>
    <t>Program Participants</t>
  </si>
  <si>
    <t>New WIA Participants</t>
  </si>
  <si>
    <t>WIA Exiters</t>
  </si>
  <si>
    <t>Over 55</t>
  </si>
  <si>
    <t>Employers Served</t>
  </si>
  <si>
    <t># of Average Visits/Customer:</t>
  </si>
  <si>
    <t>College Degree</t>
  </si>
  <si>
    <t>Population</t>
  </si>
  <si>
    <t>With Disability</t>
  </si>
  <si>
    <t>Wage Replacement:</t>
  </si>
  <si>
    <t>Drop Out Rate</t>
  </si>
  <si>
    <t>Employed</t>
  </si>
  <si>
    <t>Wagner-Peyser</t>
  </si>
  <si>
    <t>Dislocated Worker</t>
  </si>
  <si>
    <t>Retained</t>
  </si>
  <si>
    <t>Total Exiters</t>
  </si>
  <si>
    <t>Total Wages</t>
  </si>
  <si>
    <t>Positive Outcomes</t>
  </si>
  <si>
    <t>Average Duration of Exiters:</t>
  </si>
  <si>
    <t>Trainees Completing</t>
  </si>
  <si>
    <t>Positve Outcomes</t>
  </si>
  <si>
    <t>Labor Market Conditions</t>
  </si>
  <si>
    <t>Unemployment Rate</t>
  </si>
  <si>
    <t>Customer Demographic Comparison</t>
  </si>
  <si>
    <t>New Customers (staff assisted seekers-SAS)</t>
  </si>
  <si>
    <t>Total Visits (staff assisted customers</t>
  </si>
  <si>
    <t>Average Visits</t>
  </si>
  <si>
    <t>Wage Replacement</t>
  </si>
  <si>
    <t>Area's 6 Month Average Wage</t>
  </si>
  <si>
    <t>Number with HS degree (of population)</t>
  </si>
  <si>
    <t>Number with College degree (of populaton)</t>
  </si>
  <si>
    <t>Core/Intensive Only</t>
  </si>
  <si>
    <t>Training</t>
  </si>
  <si>
    <t>Self-Service Only</t>
  </si>
  <si>
    <t>Core Only</t>
  </si>
  <si>
    <t xml:space="preserve">Assessment </t>
  </si>
  <si>
    <t>Referral to Community Services</t>
  </si>
  <si>
    <t>Actual %</t>
  </si>
  <si>
    <t>Placements</t>
  </si>
  <si>
    <t>% of Population</t>
  </si>
  <si>
    <t>% Of Staff Assisted</t>
  </si>
  <si>
    <t>% of WIA Enrolled</t>
  </si>
  <si>
    <t xml:space="preserve"> Pre-Program Wages (Last Job Wages)</t>
  </si>
  <si>
    <t>Post-Program Wages (Placement Wages)</t>
  </si>
  <si>
    <t>Unduplicated count of all seekers logging into SSMS and/or Go2WorkSource during the quarter</t>
  </si>
  <si>
    <t>Unduplicated count of the seekers who received a core service and did not receive an intensive or training service during the quarter</t>
  </si>
  <si>
    <t>Unduplicated count of all seekers with at least one day of enrollment during the quarter in a WIA program (Youth, Adult, DW)</t>
  </si>
  <si>
    <t>Unduplicated count of all seekers who began enrollment during the quarter in a WIA program (Youth, Adult, DW)</t>
  </si>
  <si>
    <t>Count of all job openings associated with any WA job order opened during the quarter</t>
  </si>
  <si>
    <t>Unduplicated count of all employers served with any service (including job referrals, postings and outreach) during the quarter</t>
  </si>
  <si>
    <t>Total Visits (staff assisted customers)</t>
  </si>
  <si>
    <t>Dividing the number of visits by the number of staff assisted seekers</t>
  </si>
  <si>
    <t>The division of the average Placement wage by the Last Job wage</t>
  </si>
  <si>
    <t>Common Measures Results</t>
  </si>
  <si>
    <t>Common Measures Targets</t>
  </si>
  <si>
    <t>Of the seekers who were enrolled in a WIA program during the Entered Employment Exit period(4 quarters), their demographics based upon their SKIES information</t>
  </si>
  <si>
    <t>Measures Side</t>
  </si>
  <si>
    <t>Indicators Side</t>
  </si>
  <si>
    <t>These common measures are the four quarter cumulative results.</t>
  </si>
  <si>
    <t>Staff-Assisted Customers</t>
  </si>
  <si>
    <t>Box Flow Chart</t>
  </si>
  <si>
    <t>Program Participants Column Chart</t>
  </si>
  <si>
    <t>Employer Services Column Chart</t>
  </si>
  <si>
    <t>Job Orders Bar Chart</t>
  </si>
  <si>
    <t>Bottom Bar (Footer)</t>
  </si>
  <si>
    <t>New Staff Assisted Customers:</t>
  </si>
  <si>
    <t>Of the Staff-Assisted Customer Group, how many did not have a state (non-local) staff-assisted service the previous quarter.</t>
  </si>
  <si>
    <t>Targets are negotiated between the WTECB and the Department of Labor on an annual to semi-annual schedule (by May and/or December of each year)</t>
  </si>
  <si>
    <t>% of Population (click for Source)</t>
  </si>
  <si>
    <t>Area's 6 Month Average Wage (click for source)</t>
  </si>
  <si>
    <t>Drop Out Rate (click for source)</t>
  </si>
  <si>
    <t>Of the total population over the age of 25, % with a College Degree (or equivalent) or more</t>
  </si>
  <si>
    <t>Unduplicated count of all seekers receiving a state (non-local) staff assisted service, logging into SSMS and/or logging into Go2WorkSource during the quarter</t>
  </si>
  <si>
    <t>Unduplicated count of the seekers who received a core and intensive service but not training,during the quarter</t>
  </si>
  <si>
    <t>Customer Flow Boxes</t>
  </si>
  <si>
    <t>Management Indicators</t>
  </si>
  <si>
    <t>Employer Services</t>
  </si>
  <si>
    <t>Job Orders</t>
  </si>
  <si>
    <t>Bottom Bar Data</t>
  </si>
  <si>
    <t>Staff Assisted Customers</t>
  </si>
  <si>
    <t>New In Training</t>
  </si>
  <si>
    <t>Ongoing Training</t>
  </si>
  <si>
    <t>Currrent Q</t>
  </si>
  <si>
    <t>Last Year</t>
  </si>
  <si>
    <t>Olympic</t>
  </si>
  <si>
    <t>Q4</t>
  </si>
  <si>
    <t>APR-JUN 2011</t>
  </si>
  <si>
    <t>% of Population +25 w/ College Degree</t>
  </si>
  <si>
    <t>Area Profile</t>
  </si>
  <si>
    <t>Highest Growth Industry</t>
  </si>
  <si>
    <t>Target</t>
  </si>
  <si>
    <t>Workforce Development Area</t>
  </si>
  <si>
    <t>Entered Employment Base</t>
  </si>
  <si>
    <t>Entered Employment Rate</t>
  </si>
  <si>
    <t>Employment Retention</t>
  </si>
  <si>
    <t>Employment Retention Base</t>
  </si>
  <si>
    <t>Employment Retention Rate</t>
  </si>
  <si>
    <t>Total Earnings</t>
  </si>
  <si>
    <t>Average Earnings Base</t>
  </si>
  <si>
    <t>Benton/Franklin</t>
  </si>
  <si>
    <t>Eastern Washington</t>
  </si>
  <si>
    <t>North Central</t>
  </si>
  <si>
    <t>Northwest</t>
  </si>
  <si>
    <t>Pacific Mountain</t>
  </si>
  <si>
    <t>Seattle - King County</t>
  </si>
  <si>
    <t>Snohomish</t>
  </si>
  <si>
    <t>South Central</t>
  </si>
  <si>
    <t>Southwest Washington</t>
  </si>
  <si>
    <t>Spokane</t>
  </si>
  <si>
    <t>Tacoma - Pierce</t>
  </si>
  <si>
    <t>Statewide</t>
  </si>
  <si>
    <t>Area Labor Force</t>
  </si>
  <si>
    <t>Avg. Months Duration of Exiters:</t>
  </si>
  <si>
    <t>XII</t>
  </si>
  <si>
    <t>XI</t>
  </si>
  <si>
    <t>X</t>
  </si>
  <si>
    <t>IX</t>
  </si>
  <si>
    <t>VIII</t>
  </si>
  <si>
    <t>VII</t>
  </si>
  <si>
    <t>VI</t>
  </si>
  <si>
    <t>V</t>
  </si>
  <si>
    <t>IV</t>
  </si>
  <si>
    <t>III</t>
  </si>
  <si>
    <t>II</t>
  </si>
  <si>
    <t>I</t>
  </si>
  <si>
    <t>Bachelor's or More</t>
  </si>
  <si>
    <t>Advanced Degree</t>
  </si>
  <si>
    <t>Bachelor's Degree</t>
  </si>
  <si>
    <t>AA Degree</t>
  </si>
  <si>
    <t>Some College</t>
  </si>
  <si>
    <t>HS Diploma or Equivalent</t>
  </si>
  <si>
    <t>Some High School</t>
  </si>
  <si>
    <t>Less than 9th Grade</t>
  </si>
  <si>
    <t>Population Aged 25+</t>
  </si>
  <si>
    <t>Source:  American Community Survey</t>
  </si>
  <si>
    <t>2005-09 Average</t>
  </si>
  <si>
    <t>Educational Attainment, Population Aged 25 and Older</t>
  </si>
  <si>
    <t>State</t>
  </si>
  <si>
    <t>PacMtn</t>
  </si>
  <si>
    <t>King</t>
  </si>
  <si>
    <t>Pierce</t>
  </si>
  <si>
    <t>Southwest</t>
  </si>
  <si>
    <t>Eastern</t>
  </si>
  <si>
    <t>Benton-Franklin</t>
  </si>
  <si>
    <t>WIA</t>
  </si>
  <si>
    <t>Adult Entered Employment</t>
  </si>
  <si>
    <t xml:space="preserve"> AdultEntered Employment Base</t>
  </si>
  <si>
    <t>Adult Entered Employment Rate</t>
  </si>
  <si>
    <t xml:space="preserve"> DW Entered Employment</t>
  </si>
  <si>
    <t>DW Entered Employment Base</t>
  </si>
  <si>
    <t>DW Entered Employment Rate</t>
  </si>
  <si>
    <t>YOUTH CERTIFICATE NUMERATOR</t>
  </si>
  <si>
    <t>YOUTH CERTIFICATE DENOMINATOR</t>
  </si>
  <si>
    <t>YOUTH CERTIFICATE RATE</t>
  </si>
  <si>
    <t>LIT/NUM NUMERATOR</t>
  </si>
  <si>
    <t>LIT/NUM DENOMINATOR</t>
  </si>
  <si>
    <t>LIT/NUM RATE</t>
  </si>
  <si>
    <t>PLACEMENT NUMERATOR</t>
  </si>
  <si>
    <t>PLACEMENT DENOMINATOR</t>
  </si>
  <si>
    <t>PLACEMENT RATE</t>
  </si>
  <si>
    <t>Actual</t>
  </si>
  <si>
    <t>Actual $</t>
  </si>
  <si>
    <t>Target $</t>
  </si>
  <si>
    <t>Row Labels</t>
  </si>
  <si>
    <t>Grand Total</t>
  </si>
  <si>
    <t>Values</t>
  </si>
  <si>
    <r>
      <t xml:space="preserve">Dashboard : </t>
    </r>
    <r>
      <rPr>
        <b/>
        <i/>
        <sz val="22"/>
        <color theme="1"/>
        <rFont val="Calibri"/>
        <family val="2"/>
        <scheme val="minor"/>
      </rPr>
      <t>Measures</t>
    </r>
  </si>
  <si>
    <t>Dashboard : Indicators</t>
  </si>
  <si>
    <t>Sum of currentprogram</t>
  </si>
  <si>
    <t>Sum of program1yearago</t>
  </si>
  <si>
    <t>Sum of wiacurrent</t>
  </si>
  <si>
    <t>Sum of wianew1yearago</t>
  </si>
  <si>
    <t>Sum of wianewcurrent</t>
  </si>
  <si>
    <t>Sum of wia1yearago</t>
  </si>
  <si>
    <t>Sum of wiaexitcurrent</t>
  </si>
  <si>
    <t>Sum of wiaexit1yearago</t>
  </si>
  <si>
    <t>Area Unemployed</t>
  </si>
  <si>
    <t>EE Target:</t>
  </si>
  <si>
    <t>Retention Target:</t>
  </si>
  <si>
    <t>Earnings Target:</t>
  </si>
  <si>
    <t>Adult EE Target</t>
  </si>
  <si>
    <t>DW EE Target</t>
  </si>
  <si>
    <t>Youth Certificate Target</t>
  </si>
  <si>
    <t>Lit/Num Target</t>
  </si>
  <si>
    <t>Placement Target</t>
  </si>
  <si>
    <t>Adult Retention</t>
  </si>
  <si>
    <t>Adult Retention Base</t>
  </si>
  <si>
    <t>Adult Retention Rate</t>
  </si>
  <si>
    <t>Adult Retention Target</t>
  </si>
  <si>
    <t>dw Retention</t>
  </si>
  <si>
    <t>dw Retention Base</t>
  </si>
  <si>
    <t>dw Retention Rate</t>
  </si>
  <si>
    <t>dw Retention Target</t>
  </si>
  <si>
    <t>Adult Earnings</t>
  </si>
  <si>
    <t>Adult Earnings Base</t>
  </si>
  <si>
    <t>Adult Average Earnings</t>
  </si>
  <si>
    <t>Adult Average Earnings Target</t>
  </si>
  <si>
    <t>dw Earnings</t>
  </si>
  <si>
    <t>dw Earnings Base</t>
  </si>
  <si>
    <t>dw Average Earnings</t>
  </si>
  <si>
    <t>dw Average Earnings Target</t>
  </si>
  <si>
    <t>OCT-DEC 2010</t>
  </si>
  <si>
    <t>JAN-MAR 2011</t>
  </si>
  <si>
    <t>JUL-SEP 2011</t>
  </si>
  <si>
    <t>OCT-DEC 2011</t>
  </si>
  <si>
    <t>JAN-MAR 2010</t>
  </si>
  <si>
    <t>OCT-DEC 2009</t>
  </si>
  <si>
    <t>APR-JUN 2010</t>
  </si>
  <si>
    <t>JUL-SEP 2010</t>
  </si>
  <si>
    <t>% of Staff Assisted Customers</t>
  </si>
  <si>
    <t>Current Qtr Total</t>
  </si>
  <si>
    <t>% of All Customers</t>
  </si>
  <si>
    <t>Indicators</t>
  </si>
  <si>
    <t>Measures</t>
  </si>
  <si>
    <t xml:space="preserve">25+ </t>
  </si>
  <si>
    <t>Sum of 3CountOfJobORders1YearAgo_SumOfJOB OPENINGS</t>
  </si>
  <si>
    <t>Sum of 3COUNT OF JOB ORDERS AND JOB OPENINGS_SumOfJOB OPENINGS</t>
  </si>
  <si>
    <t>Sum of 3CountOfEmployersServed_CountOfEMPLOYER_ID</t>
  </si>
  <si>
    <t>Sum of 3CountOfEmployersServed1YearAgo_CountOfEMPLOYER_ID</t>
  </si>
  <si>
    <t>Job Order Fill Rate</t>
  </si>
  <si>
    <t>Median Wage based on ACS 2009, income for 1 earner</t>
  </si>
  <si>
    <t>Of the WA job orders opened during the quarter the # of placements on those job orders compared to the number of job openings for those same orders. Data continues to mature after this snapshot.</t>
  </si>
  <si>
    <t>All Customers Common Measures</t>
  </si>
  <si>
    <t>Lowest Growth Industry</t>
  </si>
  <si>
    <t>Measure</t>
  </si>
  <si>
    <t>Total Population</t>
  </si>
  <si>
    <t>% of Population +25  w/ High School</t>
  </si>
  <si>
    <t>Customer Flow Table</t>
  </si>
  <si>
    <t>Sum of JobSearch</t>
  </si>
  <si>
    <t>Sum of Assessments</t>
  </si>
  <si>
    <t>Sum of SkillDevelopment</t>
  </si>
  <si>
    <t>Sum of CommunityReferral</t>
  </si>
  <si>
    <t>Yakima County</t>
  </si>
  <si>
    <t>Whitman County</t>
  </si>
  <si>
    <t>Whatcom County</t>
  </si>
  <si>
    <t>Walla Walla County</t>
  </si>
  <si>
    <t>Wahkiakum County</t>
  </si>
  <si>
    <t>Thurston County</t>
  </si>
  <si>
    <t>Stevens County</t>
  </si>
  <si>
    <t>Spokane County</t>
  </si>
  <si>
    <t>Snohomish County</t>
  </si>
  <si>
    <t>Skamania County</t>
  </si>
  <si>
    <t>Skagit County</t>
  </si>
  <si>
    <t>San Juan County</t>
  </si>
  <si>
    <t>Pierce County</t>
  </si>
  <si>
    <t>Pend Oreille County</t>
  </si>
  <si>
    <t>Pacific County</t>
  </si>
  <si>
    <t>Okanogan County</t>
  </si>
  <si>
    <t>Mason County</t>
  </si>
  <si>
    <t>Lincoln County</t>
  </si>
  <si>
    <t>Lewis County</t>
  </si>
  <si>
    <t>Klickitat County</t>
  </si>
  <si>
    <t>Kittitas County</t>
  </si>
  <si>
    <t>Kitsap County</t>
  </si>
  <si>
    <t>King County</t>
  </si>
  <si>
    <t>Jefferson County</t>
  </si>
  <si>
    <t>Island County</t>
  </si>
  <si>
    <t>Grays Harbor County</t>
  </si>
  <si>
    <t>Grant County</t>
  </si>
  <si>
    <t>Garfield County</t>
  </si>
  <si>
    <t>Franklin County</t>
  </si>
  <si>
    <t>Ferry County</t>
  </si>
  <si>
    <t>Douglas County</t>
  </si>
  <si>
    <t>Cowlitz County</t>
  </si>
  <si>
    <t>Columbia County</t>
  </si>
  <si>
    <t>Clark County</t>
  </si>
  <si>
    <t>Clallam County</t>
  </si>
  <si>
    <t>Chelan County</t>
  </si>
  <si>
    <t>Benton County</t>
  </si>
  <si>
    <t>Asotin County</t>
  </si>
  <si>
    <t>Adams County</t>
  </si>
  <si>
    <t>CTYNAME</t>
  </si>
  <si>
    <t>Sum of TOT_POP</t>
  </si>
  <si>
    <t>Sum of TOT_MALE</t>
  </si>
  <si>
    <t>Sum of TOT_FEMALE</t>
  </si>
  <si>
    <t>Column Labels</t>
  </si>
  <si>
    <t>Sum of Protected Racial Class</t>
  </si>
  <si>
    <t>Total Sum of TOT_POP</t>
  </si>
  <si>
    <t>Total Sum of TOT_MALE</t>
  </si>
  <si>
    <t>Total Sum of TOT_FEMALE</t>
  </si>
  <si>
    <t>Total Sum of Protected Racial Class</t>
  </si>
  <si>
    <t xml:space="preserve"> +25 Population</t>
  </si>
  <si>
    <t>% with College degree (of populaton aged +25)</t>
  </si>
  <si>
    <t>HS Or More</t>
  </si>
  <si>
    <t>Area Name</t>
  </si>
  <si>
    <t>Area Number</t>
  </si>
  <si>
    <t>Area#</t>
  </si>
  <si>
    <t>Sum of CountOfSEEKERID</t>
  </si>
  <si>
    <t>Sum of CountOfSERVICEDATE</t>
  </si>
  <si>
    <t>Sum of NewWages</t>
  </si>
  <si>
    <t>Sum of OldWages</t>
  </si>
  <si>
    <t>Sum of AvgOfDuration</t>
  </si>
  <si>
    <t>&gt;25 Years Old</t>
  </si>
  <si>
    <t>Staff Assisted</t>
  </si>
  <si>
    <t>DONETS</t>
  </si>
  <si>
    <t>Sum of 1</t>
  </si>
  <si>
    <t>Sum of 2</t>
  </si>
  <si>
    <t>Sum of 3</t>
  </si>
  <si>
    <t>Sum of 4</t>
  </si>
  <si>
    <t>Sum of 5</t>
  </si>
  <si>
    <t>Sum of 6</t>
  </si>
  <si>
    <t>Sum of 7</t>
  </si>
  <si>
    <t>Sum of 8</t>
  </si>
  <si>
    <t>Sum of 9</t>
  </si>
  <si>
    <t>Sum of 10</t>
  </si>
  <si>
    <t>Sum of 11</t>
  </si>
  <si>
    <t>Sum of 12</t>
  </si>
  <si>
    <t>Sum of EOGenderCount_CountOfSEEKERID</t>
  </si>
  <si>
    <t>Sum of EOAgeCount_CountOfSEEKERID</t>
  </si>
  <si>
    <t>Sum of EODisabilityCount_CountOfSEEKERID</t>
  </si>
  <si>
    <t>Average Placement Wage</t>
  </si>
  <si>
    <t>Most Growth in Employment</t>
  </si>
  <si>
    <t>Least Growth in Employment</t>
  </si>
  <si>
    <t>INDICATORS BOTTOM BAR</t>
  </si>
  <si>
    <t>Last Year's DONETS</t>
  </si>
  <si>
    <t>EO Seekers</t>
  </si>
  <si>
    <t>EO WIA</t>
  </si>
  <si>
    <t>Sum of EORaceCount_CountOfSEEKERID</t>
  </si>
  <si>
    <t>Sum of EOSeekersServedCount_CountOfSEEKERID</t>
  </si>
  <si>
    <t>Sum of EOWIASEEKERCOUNT_CountOfSEEKER_ID</t>
  </si>
  <si>
    <t>Sum of EOWIAGENDERCOUNT_CountOfSEEKER_ID</t>
  </si>
  <si>
    <t>Sum of EOWIARACECOUNT_CountOfSEEKER_ID</t>
  </si>
  <si>
    <t>Sum of EOWIAAGECOUNT_CountOfSEEKER_ID</t>
  </si>
  <si>
    <t>Sum of EOWIADSISABILITYCOUNT_CountOfSEEKER_ID</t>
  </si>
  <si>
    <t>Sum of COLLEGECOUNT_CountOfSEEKERID</t>
  </si>
  <si>
    <t>Sum of OVER25COUNT_CountOfSEEKERID</t>
  </si>
  <si>
    <t>Sum of HSCOUNT_CountOfSEEKERID</t>
  </si>
  <si>
    <t>Sum of EDUCATIONWIACOUNT_CountOfSEEKER_ID</t>
  </si>
  <si>
    <t>Sum of HSWIACOUNT_CountOfSEEKER_ID</t>
  </si>
  <si>
    <t>Sum of COLLEGEWIACOUNT_CountOfSEEKER_ID</t>
  </si>
  <si>
    <t>Job Search Assistance</t>
  </si>
  <si>
    <t>Definitions to the right, click here to see TEGL 17-05 for more details.</t>
  </si>
  <si>
    <t>Additonal Area Profile Data</t>
  </si>
  <si>
    <t>Additonal State Profile Data</t>
  </si>
  <si>
    <t>Currrent Qtr</t>
  </si>
  <si>
    <t>Current Qtr</t>
  </si>
  <si>
    <t xml:space="preserve">Unduplicated count of the staff-assisted seekers who received any service classified as "Assessment*" - </t>
  </si>
  <si>
    <t xml:space="preserve">Unduplicated count of the staff-assisted seekers who received any service classified as "Job Search &amp; Placement*" </t>
  </si>
  <si>
    <t xml:space="preserve">Unduplicated count of the staff-assisted seekers who received any service classified as "Referral to Community Services*" - </t>
  </si>
  <si>
    <t xml:space="preserve">Unduplicated count of the staff assisted seekers who received any service classified as "Skill Development*" - </t>
  </si>
  <si>
    <t>New Customers (staff assisted seekers)</t>
  </si>
  <si>
    <t>the total wages of the last jobs held by job seekers who were placed during the quarter, who had an employment history that included an end date and an ending salary</t>
  </si>
  <si>
    <t>The Minimum Wage listed for the WA job orders where placements were made during the quarter</t>
  </si>
  <si>
    <t xml:space="preserve">For all the staff-assisted customers during the quarter, the number of unduplicated days they were served </t>
  </si>
  <si>
    <t>Numbers are reported for the time period that coincides with the 4 quarters that common measures uses to capture Entered Employment Exiters for this quarter's report. These quarterly numbers are based upon an average of each quarter's monthly totals</t>
  </si>
  <si>
    <t>Most Growth in Employment: (click for source)</t>
  </si>
  <si>
    <t>Least Growth in Employment: (click for source)</t>
  </si>
  <si>
    <t>* Employment and wages not shown to avoid disclosure of data for individual employer.</t>
  </si>
  <si>
    <t>County Totals</t>
  </si>
  <si>
    <t>Weekly Wage</t>
  </si>
  <si>
    <t>Quarterly Wage</t>
  </si>
  <si>
    <t>Employment</t>
  </si>
  <si>
    <t>County</t>
  </si>
  <si>
    <t>Average</t>
  </si>
  <si>
    <t>Multiple County</t>
  </si>
  <si>
    <t>Average Hourly Wage</t>
  </si>
  <si>
    <t>Average 6 Month Wage</t>
  </si>
  <si>
    <t>Area's Hourly Wage</t>
  </si>
  <si>
    <t>Based upon the QCEW, from the last quarter during the Entered Employment Exit Period, Area's weekly wage divided by 40 hours.</t>
  </si>
  <si>
    <t>State Wagner-Peyser</t>
  </si>
  <si>
    <t>Chart Data Tables</t>
  </si>
  <si>
    <t>Sum of all</t>
  </si>
  <si>
    <t>Sum of self</t>
  </si>
  <si>
    <t>Sum of staffassist</t>
  </si>
  <si>
    <t>Sum of core</t>
  </si>
  <si>
    <t>Sum of coreint</t>
  </si>
  <si>
    <t>Sum of newtraining</t>
  </si>
  <si>
    <t>Sum of ongoing</t>
  </si>
  <si>
    <t>Sum of complete</t>
  </si>
  <si>
    <t>% of Population +25  w/ High School/GED</t>
  </si>
  <si>
    <t>% with HS/GED (of population aged +25)</t>
  </si>
  <si>
    <t>High School/GED</t>
  </si>
  <si>
    <t>Area Unemployment Rate</t>
  </si>
  <si>
    <t>Total Area Labor Force</t>
  </si>
  <si>
    <t>Total Area Unemployed</t>
  </si>
  <si>
    <t>Total Area Unemployment Rate</t>
  </si>
  <si>
    <t>Total Area Employment</t>
  </si>
  <si>
    <t>State Labor Force</t>
  </si>
  <si>
    <t>Most Growth in Labor Force</t>
  </si>
  <si>
    <t>Least Growth in Labor Force</t>
  </si>
  <si>
    <t>Average 6 Month Wages</t>
  </si>
  <si>
    <t>Hourly</t>
  </si>
  <si>
    <t>weekly</t>
  </si>
  <si>
    <t>Monthly Wages</t>
  </si>
  <si>
    <t>Q1</t>
  </si>
  <si>
    <t>Q2</t>
  </si>
  <si>
    <t>Q3</t>
  </si>
  <si>
    <t>Total Wages Paid</t>
  </si>
  <si>
    <t>Annual Wage</t>
  </si>
  <si>
    <t>Total Area Wages</t>
  </si>
  <si>
    <t>Average Annual wages</t>
  </si>
  <si>
    <t>2010 Revised Annual Covered Employment by Industry</t>
  </si>
  <si>
    <t>On-time Grads</t>
  </si>
  <si>
    <t>Size of Cohort****</t>
  </si>
  <si>
    <t>Late Grads</t>
  </si>
  <si>
    <t>Total Grads</t>
  </si>
  <si>
    <t>Extended Grad Rate</t>
  </si>
  <si>
    <t>Annual Dropout Rate</t>
  </si>
  <si>
    <t>Name of County</t>
  </si>
  <si>
    <t>Est Cohort Dropout</t>
  </si>
  <si>
    <t>Est Cohort Continue</t>
  </si>
  <si>
    <t>On-Time Grad Rate (minus continuing)</t>
  </si>
  <si>
    <t>area</t>
  </si>
  <si>
    <t>WDA</t>
  </si>
  <si>
    <t>Area Employed</t>
  </si>
  <si>
    <t>Total Area Employed</t>
  </si>
  <si>
    <t>Area Wagner-Peyser</t>
  </si>
  <si>
    <t>Average Job Order Wage</t>
  </si>
  <si>
    <t>PY08 Q3</t>
  </si>
  <si>
    <t>PY08 Q4</t>
  </si>
  <si>
    <t>PY09 Q1</t>
  </si>
  <si>
    <t>PY09 Q2</t>
  </si>
  <si>
    <t>PY09 Q3</t>
  </si>
  <si>
    <t>PY09 Q4</t>
  </si>
  <si>
    <t>PY10 Q1</t>
  </si>
  <si>
    <t>PY10 Q2</t>
  </si>
  <si>
    <t>PY10 Q3</t>
  </si>
  <si>
    <t>PY10 Q4</t>
  </si>
  <si>
    <t>PY11 Q1</t>
  </si>
  <si>
    <t>PY11 Q2</t>
  </si>
  <si>
    <t>PY11 Q3</t>
  </si>
  <si>
    <t>PY11 Q4</t>
  </si>
  <si>
    <t>PY12 Q1</t>
  </si>
  <si>
    <t>PY12 Q2</t>
  </si>
  <si>
    <t>PY12 Q3</t>
  </si>
  <si>
    <t>PY12 Q4</t>
  </si>
  <si>
    <t>PY13 Q1</t>
  </si>
  <si>
    <t>PY13 Q2</t>
  </si>
  <si>
    <t>PY13 Q3</t>
  </si>
  <si>
    <t>Protected Class</t>
  </si>
  <si>
    <t>Area's Average 6 Month Wage</t>
  </si>
  <si>
    <t>EO Education</t>
  </si>
  <si>
    <t>THIS YEAR'S JOB ORDER WAGE</t>
  </si>
  <si>
    <t>LAST YEAR'S JOB ORDER WAGE</t>
  </si>
  <si>
    <t>Sum of current</t>
  </si>
  <si>
    <t>Sum of Currentsalary</t>
  </si>
  <si>
    <t>Sum of Lastyear</t>
  </si>
  <si>
    <t>Sum of Lastyearsalary</t>
  </si>
  <si>
    <t>placements &amp; placement wages</t>
  </si>
  <si>
    <t>Estimated Hourly Average Wage:</t>
  </si>
  <si>
    <t>Job Order Average Wage</t>
  </si>
  <si>
    <t>Average wage of all WA job orders opened during the quarter that have a wage listed in SKIES (and that wage is above minimum wage and below $100 using the Minimum Salary field listed for the job)</t>
  </si>
  <si>
    <t>Based upon High School students, data from OSPI, "cohort drop out rate"</t>
  </si>
  <si>
    <t>Unduplicated count of seekers who had at least one day of enrollment in any program during the quarter, and had a service associated with that program open during the quarter. (open meaning the service was begun prior to the end of the quarter)</t>
  </si>
  <si>
    <t>Unduplicated count of all seekers who exited any WIA program during the quarter</t>
  </si>
  <si>
    <t xml:space="preserve">This information is from the latest American Community Survey conducted by the Census (2009)-all calculations are based upon the total population. </t>
  </si>
  <si>
    <r>
      <t xml:space="preserve">Of the staff assisted seekers served during the Entered Employment 12 month period(4 quarters), their demographics based upon their SKIES information. Protected class for EO purposes means that the SKIES Race Field </t>
    </r>
    <r>
      <rPr>
        <sz val="12"/>
        <rFont val="Calibri"/>
        <family val="2"/>
      </rPr>
      <t>≠ "White"</t>
    </r>
  </si>
  <si>
    <t>Of the total population over the age of 25, % with a High School Diploma (or equivalent) or higher</t>
  </si>
  <si>
    <t>H.S. Cohort Drop Out Rate</t>
  </si>
  <si>
    <t xml:space="preserve">HS Cohort Drop Out Rate </t>
  </si>
  <si>
    <t>HS Cohort Drop Out Rate</t>
  </si>
  <si>
    <t>MGTINDICATORS</t>
  </si>
  <si>
    <t>PROGRAM PARTICIPANTS</t>
  </si>
  <si>
    <t>EMPLOYER SERVICES</t>
  </si>
  <si>
    <t>JOB ORDERS</t>
  </si>
  <si>
    <t>Management Indicators Bar Chart (see below for a list of services)</t>
  </si>
  <si>
    <t>Management Indicators List</t>
  </si>
  <si>
    <t>ASSESSMENT</t>
  </si>
  <si>
    <t>JOB SEARCH &amp; PLACEMENT</t>
  </si>
  <si>
    <t>REFERRAL TO COMMUNITY SERVICES</t>
  </si>
  <si>
    <t>SKILL DEVELOPMENT</t>
  </si>
  <si>
    <t>BASIC READJUSTMENT SERVICE</t>
  </si>
  <si>
    <t>BONDING ASSISTANCE</t>
  </si>
  <si>
    <t>CAREER/VOCATIONAL PLANNING</t>
  </si>
  <si>
    <t>EMPLOYMENT REFERRAL</t>
  </si>
  <si>
    <t>JOB CLUB</t>
  </si>
  <si>
    <t>JOB DEVELOPMENT</t>
  </si>
  <si>
    <t>Job Referrals</t>
  </si>
  <si>
    <t>JOB SEARCH AND PLACEMENT ASSISTANCE</t>
  </si>
  <si>
    <t>JOB SEARCH PLANNING</t>
  </si>
  <si>
    <t>JOB SEARCH REVIEW PROGRAM SERVICES</t>
  </si>
  <si>
    <t>KEYTRAIN FOLLOW UP</t>
  </si>
  <si>
    <t>MODULE 1 ORIENTATION TO WORKSOURCE SERVICES</t>
  </si>
  <si>
    <t>MODULE 2 SKILLS AND ABILITIES ANALYSIS</t>
  </si>
  <si>
    <t>MODULE 3 JOB SEARCH STRATEGIES</t>
  </si>
  <si>
    <t>MODULE 4 PERFECTING APPLICATIONS</t>
  </si>
  <si>
    <t>MODULE 5 EFFECTIVE RESUMES AND COVER LETTER</t>
  </si>
  <si>
    <t>MODULE 6 INTERVIEWING TECHNIQUES</t>
  </si>
  <si>
    <t>OUT-OF-AREA JOB SEARCH</t>
  </si>
  <si>
    <t>PROVIDED LABOR MARKET INFORMATION</t>
  </si>
  <si>
    <t>RAPID RESPONSE SERVICES</t>
  </si>
  <si>
    <t>Reemployment Services Summary</t>
  </si>
  <si>
    <t>REFERRAL TO FEDERAL JOB OPENING NOT IN SKIES</t>
  </si>
  <si>
    <t>REFERRAL TO H-2A PROGRAM JOB OPENING</t>
  </si>
  <si>
    <t>REFERRAL TO INTERSTATE JOB OPENING</t>
  </si>
  <si>
    <t>REFERRAL TO INTRASTATE JOB OPENING</t>
  </si>
  <si>
    <t>RESUME ASSISTANCE</t>
  </si>
  <si>
    <t>SERVICE ORIENTATION</t>
  </si>
  <si>
    <t>Staff assisted job matching</t>
  </si>
  <si>
    <t>TAP WORKSHOP</t>
  </si>
  <si>
    <t>VOCATIONAL / EMPLOYMENT GUIDANCE SERVICES</t>
  </si>
  <si>
    <t>WOTC CERTIFICATION SERVICES</t>
  </si>
  <si>
    <t>DEVELOPMENT OF INDIVIDUAL EMPLOYMENT PLANS</t>
  </si>
  <si>
    <t>EVALUATION TO IDENTIFY BARRIERS TO EMPLOYMENT</t>
  </si>
  <si>
    <t>Initial assessment</t>
  </si>
  <si>
    <t>KEYTRAIN QUICK GUIDE</t>
  </si>
  <si>
    <t>NEEDS ASSESSMENT</t>
  </si>
  <si>
    <t>SPECIALIZED ASSESSMENT</t>
  </si>
  <si>
    <t>BASIC SKILLS</t>
  </si>
  <si>
    <t>KEYTRAIN SKILL BUILDING</t>
  </si>
  <si>
    <t>SHORT-TERM PRE-EMPLOYMENT / VOCATIONAL SERVICES</t>
  </si>
  <si>
    <t>WORK / INTERNSHIP EXPERIENCE</t>
  </si>
  <si>
    <t>Referral to other services</t>
  </si>
  <si>
    <t>REFERRAL TO WIA 167 PROGRAM</t>
  </si>
  <si>
    <t>REFERRED TO SUPPORTIVE OR INTENSIVE SERVICES</t>
  </si>
  <si>
    <t>YOUTH ADDITIONAL SUPPORT FOR YOUTH SERVICES</t>
  </si>
  <si>
    <t>YOUTH COMMUNITY SERVICE</t>
  </si>
  <si>
    <t>YOUTH LEADERSHIP DEVELOPMENT  OPPORTUNITIES</t>
  </si>
  <si>
    <r>
      <rPr>
        <b/>
        <sz val="12"/>
        <rFont val="Calibri"/>
        <family val="2"/>
        <scheme val="minor"/>
      </rPr>
      <t>New:</t>
    </r>
    <r>
      <rPr>
        <sz val="12"/>
        <rFont val="Calibri"/>
        <family val="2"/>
        <scheme val="minor"/>
      </rPr>
      <t xml:space="preserve"> all seekers beginning a training service during the quarter (See training services below to see what is included)                                                        </t>
    </r>
    <r>
      <rPr>
        <b/>
        <sz val="12"/>
        <rFont val="Calibri"/>
        <family val="2"/>
        <scheme val="minor"/>
      </rPr>
      <t>Ongoing:</t>
    </r>
    <r>
      <rPr>
        <sz val="12"/>
        <rFont val="Calibri"/>
        <family val="2"/>
        <scheme val="minor"/>
      </rPr>
      <t xml:space="preserve"> Unduplicated count of all seekers receiving a training service anytime during the quarter                                                                                                                                    </t>
    </r>
    <r>
      <rPr>
        <b/>
        <sz val="12"/>
        <rFont val="Calibri"/>
        <family val="2"/>
        <scheme val="minor"/>
      </rPr>
      <t xml:space="preserve">Complete: </t>
    </r>
    <r>
      <rPr>
        <sz val="12"/>
        <rFont val="Calibri"/>
        <family val="2"/>
        <scheme val="minor"/>
      </rPr>
      <t>All participants completing a training service during the quarter</t>
    </r>
  </si>
  <si>
    <t>TRAINING SERVICES</t>
  </si>
  <si>
    <t>ADULT EDUCATION &amp; LITERACY WITH TRAINING</t>
  </si>
  <si>
    <t>APPRENTICESHIP TRAINING</t>
  </si>
  <si>
    <t>AUTOMATED OFFICE SKILLS</t>
  </si>
  <si>
    <t>CUSTOMIZED TRAINING</t>
  </si>
  <si>
    <t>EDUCATIONAL ACHIEVEMENT SERVICES (YOUTH ONLY)</t>
  </si>
  <si>
    <t>EMPLOYMENT SERVICES (YOUTH ONLY)</t>
  </si>
  <si>
    <t>ENGLISH AS A SECONDARY LANGUAGE</t>
  </si>
  <si>
    <t>ENTREPRENEURIAL TRAINING</t>
  </si>
  <si>
    <t>HOLD - GAP IN SERVICE</t>
  </si>
  <si>
    <t>OCCUPATIONAL SKILLS TRAINING</t>
  </si>
  <si>
    <t>OJT PAID BY OTHER</t>
  </si>
  <si>
    <t>ON-THE-JOB TRAINING</t>
  </si>
  <si>
    <t>PAID WORK EXPERIENCE (YOUTH ONLY)</t>
  </si>
  <si>
    <t>PRE-EMPLOYMENT SKILLS TRAINING</t>
  </si>
  <si>
    <t>PRE-REQUISITE TRAINING (TAA ONLY)</t>
  </si>
  <si>
    <t>PURSUING GED/DIPLOMA/CERTIFICATE (YOUTH ONLY)</t>
  </si>
  <si>
    <t>SHORT-TERM CLASSROOM TRAINING</t>
  </si>
  <si>
    <t>SKILLS UPGRADING AND RETRAINING</t>
  </si>
  <si>
    <t>SUMMER YOUTH EMPLOYMENT OPPORTUNITIES (YOUTH ONLY)</t>
  </si>
  <si>
    <t>TAA APPROVED TRAINING</t>
  </si>
  <si>
    <t>TAA SUBSISTENCE</t>
  </si>
  <si>
    <t>TAA TRANSPORTATION</t>
  </si>
  <si>
    <t>TRAINING PAID BY OTHER</t>
  </si>
  <si>
    <t>UNPAID WORK EXPERIENCE (YOUTH ONLY)</t>
  </si>
  <si>
    <t>YOUTH DROPOUT PREVENTION STRATGIES</t>
  </si>
  <si>
    <t>YOUTH JOB SHADOWING</t>
  </si>
  <si>
    <t>YOUTH SKILL GOAL- BASIC SKILLS</t>
  </si>
  <si>
    <t>YOUTH SKILL GOAL- OCCUPATIONAL</t>
  </si>
  <si>
    <t>YOUTH SKILL GOAL- WORK READINESS</t>
  </si>
  <si>
    <t>YOUTH SUMMER WORK EXPERIENCE</t>
  </si>
  <si>
    <t>Sum of AvgOfCurrentJOs</t>
  </si>
  <si>
    <t>Sum of AvgOfLastYears</t>
  </si>
  <si>
    <t>Sum of CurrentSalary</t>
  </si>
  <si>
    <t>Wagner-Peyser Statewide Historical Measures and Targets</t>
  </si>
  <si>
    <t>EE Target</t>
  </si>
  <si>
    <t>Earnings Target</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</si>
  <si>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</si>
  <si>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</si>
  <si>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</si>
  <si>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</si>
  <si>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</si>
  <si>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</si>
  <si>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</si>
  <si>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</si>
  <si>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</si>
  <si>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</si>
  <si>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</si>
  <si>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</si>
  <si>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</si>
  <si>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</si>
  <si>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</si>
  <si>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</si>
  <si>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</si>
  <si>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</si>
  <si>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</si>
  <si>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PY QTR</t>
  </si>
  <si>
    <t>2006 Q3</t>
  </si>
  <si>
    <t>2006 Q4</t>
  </si>
  <si>
    <t xml:space="preserve">Retention </t>
  </si>
  <si>
    <t>Entered Employment Over Time</t>
  </si>
  <si>
    <t>PY10Q1</t>
  </si>
  <si>
    <t>PY10Q2</t>
  </si>
  <si>
    <t>PY10Q4</t>
  </si>
  <si>
    <t>PY10Q3</t>
  </si>
  <si>
    <t>PY11Q1</t>
  </si>
  <si>
    <t>PY11Q2</t>
  </si>
  <si>
    <t>PY11Q4</t>
  </si>
  <si>
    <t>PY11Q3</t>
  </si>
  <si>
    <t>Employment Retention Over Time</t>
  </si>
  <si>
    <t>2011 Q4</t>
  </si>
  <si>
    <t>2012 Q1</t>
  </si>
  <si>
    <t>2012 Q2</t>
  </si>
  <si>
    <t>2012 Q3</t>
  </si>
  <si>
    <t>2012 Q4</t>
  </si>
  <si>
    <t>Average Earnings Over Time</t>
  </si>
  <si>
    <t>Common Measures by Area, Over time</t>
  </si>
  <si>
    <t>Bottom Bar Numbers</t>
  </si>
  <si>
    <t>% of Job Openings in Top 5 Industries</t>
  </si>
  <si>
    <t>EO Table</t>
  </si>
  <si>
    <t>Customer Demographic Numbers April 2010 -March 2011</t>
  </si>
  <si>
    <t>EO WIA Table</t>
  </si>
  <si>
    <t>NAICS1</t>
  </si>
  <si>
    <t>NAICS2</t>
  </si>
  <si>
    <t>NAICS3</t>
  </si>
  <si>
    <t>NAICS4</t>
  </si>
  <si>
    <t>NAICS5</t>
  </si>
  <si>
    <t>Unduplicated count of all seekers receiving a staff assisted state service during the quarter (local services are not counted in the dashboard or Federal reports)</t>
  </si>
  <si>
    <t>MICROSOFT E-LEARNING 2010-2012</t>
  </si>
  <si>
    <t>NAICS</t>
  </si>
  <si>
    <t>2012 NAICS Code</t>
  </si>
  <si>
    <t>2012 NAICS Title</t>
  </si>
  <si>
    <r>
      <t>Utilities</t>
    </r>
    <r>
      <rPr>
        <b/>
        <sz val="12"/>
        <color indexed="8"/>
        <rFont val="Arial"/>
        <family val="2"/>
      </rPr>
      <t xml:space="preserve"> </t>
    </r>
  </si>
  <si>
    <t xml:space="preserve">Merchant Wholesalers, Durable Goods </t>
  </si>
  <si>
    <t xml:space="preserve">Merchant Wholesalers, Nondurable Goods </t>
  </si>
  <si>
    <t xml:space="preserve">Wholesale Electronic Markets and Agents and Brokers </t>
  </si>
  <si>
    <t xml:space="preserve">Motor Vehicle and Parts Dealers </t>
  </si>
  <si>
    <t xml:space="preserve">Furniture and Home Furnishings Stores </t>
  </si>
  <si>
    <t xml:space="preserve">Electronics and Appliance Stores </t>
  </si>
  <si>
    <t xml:space="preserve">Building Material and Garden Equipment and Supplies Dealers </t>
  </si>
  <si>
    <t xml:space="preserve">Food and Beverage Stores </t>
  </si>
  <si>
    <t xml:space="preserve">Health and Personal Care Stores </t>
  </si>
  <si>
    <t xml:space="preserve">Gasoline Stations </t>
  </si>
  <si>
    <t xml:space="preserve">Clothing and Clothing Accessories Stores </t>
  </si>
  <si>
    <t xml:space="preserve">Sporting Goods, Hobby, Musical Instrument, and Book Stores </t>
  </si>
  <si>
    <t xml:space="preserve">General Merchandise Stores </t>
  </si>
  <si>
    <t xml:space="preserve">Miscellaneous Store Retailers </t>
  </si>
  <si>
    <t xml:space="preserve">Nonstore Retailers </t>
  </si>
  <si>
    <t xml:space="preserve">Executive, Legislative, and Other General Government Support </t>
  </si>
  <si>
    <t xml:space="preserve">Justice, Public Order, and Safety Activities </t>
  </si>
  <si>
    <t xml:space="preserve">Administration of Human Resource Programs </t>
  </si>
  <si>
    <t xml:space="preserve">Administration of Environmental Quality Programs </t>
  </si>
  <si>
    <t xml:space="preserve">Administration of Housing Programs, Urban Planning, and Community Development </t>
  </si>
  <si>
    <t xml:space="preserve">Administration of Economic Programs </t>
  </si>
  <si>
    <t xml:space="preserve">National Security and International Affairs </t>
  </si>
  <si>
    <t xml:space="preserve">Crop Production </t>
  </si>
  <si>
    <t xml:space="preserve">Animal Production and Aquaculture </t>
  </si>
  <si>
    <t xml:space="preserve">Forestry and Logging </t>
  </si>
  <si>
    <t xml:space="preserve">Support Activities for Agriculture and Forestry </t>
  </si>
  <si>
    <t xml:space="preserve">Oil and Gas Extraction </t>
  </si>
  <si>
    <t xml:space="preserve">Mining (except Oil and Gas) </t>
  </si>
  <si>
    <t xml:space="preserve">Support Activities for Mining </t>
  </si>
  <si>
    <t xml:space="preserve">Construction of Buildings </t>
  </si>
  <si>
    <t xml:space="preserve">Heavy and Civil Engineering Construction </t>
  </si>
  <si>
    <t xml:space="preserve">Food Manufacturing </t>
  </si>
  <si>
    <t xml:space="preserve">Apparel Manufacturing </t>
  </si>
  <si>
    <t xml:space="preserve">Leather and Allied Product Manufacturing </t>
  </si>
  <si>
    <t xml:space="preserve">Wood Product Manufacturing </t>
  </si>
  <si>
    <t xml:space="preserve">Paper Manufacturing </t>
  </si>
  <si>
    <t xml:space="preserve">Printing and Related Support Activities </t>
  </si>
  <si>
    <t xml:space="preserve">Petroleum and Coal Products Manufacturing </t>
  </si>
  <si>
    <t xml:space="preserve">Chemical Manufacturing </t>
  </si>
  <si>
    <t xml:space="preserve">Plastics and Rubber Products Manufacturing </t>
  </si>
  <si>
    <t xml:space="preserve">Nonmetallic Mineral Product Manufacturing </t>
  </si>
  <si>
    <t xml:space="preserve">Primary Metal Manufacturing </t>
  </si>
  <si>
    <t xml:space="preserve">Fabricated Metal Product Manufacturing </t>
  </si>
  <si>
    <t xml:space="preserve">Machinery Manufacturing </t>
  </si>
  <si>
    <t xml:space="preserve">Computer and Electronic Product Manufacturing </t>
  </si>
  <si>
    <t xml:space="preserve">Electrical Equipment, Appliance, and Component Manufacturing </t>
  </si>
  <si>
    <t xml:space="preserve">Furniture and Related Product Manufacturing </t>
  </si>
  <si>
    <t xml:space="preserve">Miscellaneous Manufacturing </t>
  </si>
  <si>
    <t xml:space="preserve">Postal Service </t>
  </si>
  <si>
    <t xml:space="preserve">Couriers and Messengers </t>
  </si>
  <si>
    <t xml:space="preserve">Warehousing and Storage </t>
  </si>
  <si>
    <t xml:space="preserve">Publishing Industries (except Internet) </t>
  </si>
  <si>
    <t xml:space="preserve">Motion Picture and Sound Recording Industries </t>
  </si>
  <si>
    <t xml:space="preserve">Broadcasting (except Internet) </t>
  </si>
  <si>
    <t xml:space="preserve">Data Processing, Hosting, and Related Services </t>
  </si>
  <si>
    <t xml:space="preserve">Other Information Services </t>
  </si>
  <si>
    <t xml:space="preserve">Monetary Authorities-Central Bank </t>
  </si>
  <si>
    <t xml:space="preserve">Credit Intermediation and Related Activities </t>
  </si>
  <si>
    <t xml:space="preserve">Securities, Commodity Contracts, and Other Financial Investments and Related Activities </t>
  </si>
  <si>
    <t xml:space="preserve">Insurance Carriers and Related Activities </t>
  </si>
  <si>
    <t xml:space="preserve">Real Estate </t>
  </si>
  <si>
    <t xml:space="preserve">Rental and Leasing Services </t>
  </si>
  <si>
    <t xml:space="preserve">Lessors of Nonfinancial Intangible Assets (except Copyrighted Works) </t>
  </si>
  <si>
    <t xml:space="preserve">Management of Companies and Enterprises </t>
  </si>
  <si>
    <t xml:space="preserve">Administrative and Support Services </t>
  </si>
  <si>
    <t xml:space="preserve">Waste Management and Remediation Services </t>
  </si>
  <si>
    <t xml:space="preserve">Educational Services </t>
  </si>
  <si>
    <t xml:space="preserve">Ambulatory Health Care Services </t>
  </si>
  <si>
    <t xml:space="preserve">Hospitals </t>
  </si>
  <si>
    <t xml:space="preserve">Nursing and Residential Care Facilities </t>
  </si>
  <si>
    <t xml:space="preserve">Social Assistance </t>
  </si>
  <si>
    <t xml:space="preserve">Performing Arts, Spectator Sports, and Related Industries </t>
  </si>
  <si>
    <t xml:space="preserve">Museums, Historical Sites, and Similar Institutions </t>
  </si>
  <si>
    <t xml:space="preserve">Amusement, Gambling, and Recreation Industries </t>
  </si>
  <si>
    <t xml:space="preserve">Accommodation </t>
  </si>
  <si>
    <t xml:space="preserve">Food Services and Drinking Places </t>
  </si>
  <si>
    <t xml:space="preserve">Repair and Maintenance </t>
  </si>
  <si>
    <t>Personal and Laundry Services</t>
  </si>
  <si>
    <t>Religious, Grantmaking, Civic, Professional, and Similar Organizations</t>
  </si>
  <si>
    <t xml:space="preserve">Private Households </t>
  </si>
  <si>
    <t xml:space="preserve">Telecommunications </t>
  </si>
  <si>
    <t xml:space="preserve">Support Activities for Transportation </t>
  </si>
  <si>
    <t xml:space="preserve">Pipeline Transportation </t>
  </si>
  <si>
    <t xml:space="preserve">Transportation Equipment Manufacturing </t>
  </si>
  <si>
    <t xml:space="preserve">Air Transportation </t>
  </si>
  <si>
    <t xml:space="preserve">Rail Transportation </t>
  </si>
  <si>
    <t xml:space="preserve">Water Transportation </t>
  </si>
  <si>
    <t xml:space="preserve">Truck Transportation </t>
  </si>
  <si>
    <t xml:space="preserve">Transit and Ground Passenger Transportation </t>
  </si>
  <si>
    <t xml:space="preserve">Scenic and Sightseeing Transportation </t>
  </si>
  <si>
    <t xml:space="preserve">Textile Product Mills </t>
  </si>
  <si>
    <t xml:space="preserve">Textile Mills </t>
  </si>
  <si>
    <t xml:space="preserve">Beverage and Tobacco Product Manufacturing </t>
  </si>
  <si>
    <t xml:space="preserve">Specialty Trade Contractors </t>
  </si>
  <si>
    <t xml:space="preserve">Fishing, Hunting and Trapping </t>
  </si>
  <si>
    <t>Least Growth Code</t>
  </si>
  <si>
    <t>Least Growth Name</t>
  </si>
  <si>
    <t xml:space="preserve">Funds, Trusts, and Other Financial Vehicles </t>
  </si>
  <si>
    <t xml:space="preserve">Professional, Scientific, and Technical Services </t>
  </si>
  <si>
    <t xml:space="preserve">Space Research and Technology </t>
  </si>
  <si>
    <t xml:space="preserve">Interim measure: Based upon the Quarterly Workforce Indicator Industry Focus "# of new hires" between the last quarter's data available compare to the quarter a year prior, by industry sector (3 digit NAICS), for each area.  </t>
  </si>
  <si>
    <t>A comparison between the  5 NAICS codes (by 3 digit) identified by WDCs versus the # of job orders (WA&amp;WS) opened during the quarter that match that 3 digit NAICS code.</t>
  </si>
  <si>
    <t>All Job Orders (WA, WS)</t>
  </si>
  <si>
    <t>Sum of the latest two quarters of wage data, from BLS's Quarterly Census of Employment and Wages(QCEW) , This is a 6 month look to align with Common Measures Average Earnings measure.</t>
  </si>
  <si>
    <t>State's Average 6 Month Wage</t>
  </si>
  <si>
    <t>Job Orders in top 5 Industries</t>
  </si>
  <si>
    <t>% of Job Orders in Top 5 Industries</t>
  </si>
  <si>
    <t>Sum of 4JobOrdersMatching NAICS_CountOfJOB_ORDER_ID</t>
  </si>
  <si>
    <t>Sum of 4JobOrdersMatching NAICS LastYear_CountOfJOB_ORDER_ID</t>
  </si>
  <si>
    <t>Sum of 4CountAllJobOrders_CountOfJOB_ORDER_ID</t>
  </si>
  <si>
    <t>Sum of lastyearJOS</t>
  </si>
  <si>
    <t>Entered Employment Rate (Wagner-Peyser)</t>
  </si>
  <si>
    <t>Sum of CurrentJOs</t>
  </si>
  <si>
    <t>Sum of LastYears</t>
  </si>
  <si>
    <t>Of the program exiters during the quarter, (who also had an service plan service that ended during the quarter or 1 month before)what was theiraverage duration.</t>
  </si>
  <si>
    <r>
      <t xml:space="preserve">The non-seasonally adjusted unemployment rate is calculated by taking the average of quarter's monthly </t>
    </r>
    <r>
      <rPr>
        <i/>
        <sz val="12"/>
        <rFont val="Calibri"/>
        <family val="2"/>
        <scheme val="minor"/>
      </rPr>
      <t>revised</t>
    </r>
    <r>
      <rPr>
        <sz val="12"/>
        <rFont val="Calibri"/>
        <family val="2"/>
        <scheme val="minor"/>
      </rPr>
      <t xml:space="preserve"> (not preliminary) unemployed counts and dividing it by the average of the quarter's monthly labor force counts.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</si>
</sst>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0.0"/>
    <numFmt numFmtId="169" formatCode="General_)"/>
    <numFmt numFmtId="170" formatCode="###0"/>
  </numFmts>
  <fonts count="93" x14ac:knownFonts="1">
    <font>
      <sz val="14"/>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6"/>
      <color theme="1"/>
      <name val="Calibri"/>
      <family val="2"/>
      <scheme val="minor"/>
    </font>
    <font>
      <b/>
      <sz val="18"/>
      <color theme="1"/>
      <name val="Calibri"/>
      <family val="2"/>
      <scheme val="minor"/>
    </font>
    <font>
      <b/>
      <sz val="13"/>
      <color theme="1"/>
      <name val="Calibri"/>
      <family val="2"/>
      <scheme val="minor"/>
    </font>
    <font>
      <sz val="13"/>
      <color theme="1"/>
      <name val="Calibri"/>
      <family val="2"/>
      <scheme val="minor"/>
    </font>
    <font>
      <sz val="10"/>
      <name val="Arial"/>
      <family val="2"/>
    </font>
    <font>
      <b/>
      <sz val="16"/>
      <name val="Calibri"/>
      <family val="2"/>
      <scheme val="minor"/>
    </font>
    <font>
      <b/>
      <sz val="12"/>
      <name val="Calibri"/>
      <family val="2"/>
      <scheme val="minor"/>
    </font>
    <font>
      <b/>
      <sz val="14"/>
      <name val="Calibri"/>
      <family val="2"/>
      <scheme val="minor"/>
    </font>
    <font>
      <b/>
      <sz val="13"/>
      <name val="Calibri"/>
      <family val="2"/>
      <scheme val="minor"/>
    </font>
    <font>
      <u/>
      <sz val="14"/>
      <color theme="10"/>
      <name val="Calibri"/>
      <family val="2"/>
    </font>
    <font>
      <b/>
      <sz val="20"/>
      <color theme="1"/>
      <name val="Calibri"/>
      <family val="2"/>
      <scheme val="minor"/>
    </font>
    <font>
      <sz val="24"/>
      <color theme="1"/>
      <name val="Calibri"/>
      <family val="2"/>
      <scheme val="minor"/>
    </font>
    <font>
      <b/>
      <sz val="18"/>
      <color theme="3"/>
      <name val="Cambria"/>
      <family val="2"/>
      <scheme val="major"/>
    </font>
    <font>
      <sz val="10"/>
      <name val="Arial"/>
      <family val="2"/>
    </font>
    <font>
      <sz val="13"/>
      <color rgb="FFFF0000"/>
      <name val="Calibri"/>
      <family val="2"/>
      <scheme val="minor"/>
    </font>
    <font>
      <sz val="14"/>
      <color rgb="FFFF0000"/>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22"/>
      <color theme="1"/>
      <name val="Calibri"/>
      <family val="2"/>
      <scheme val="minor"/>
    </font>
    <font>
      <sz val="13"/>
      <name val="Calibri"/>
      <family val="2"/>
      <scheme val="minor"/>
    </font>
    <font>
      <b/>
      <i/>
      <sz val="22"/>
      <color theme="1"/>
      <name val="Calibri"/>
      <family val="2"/>
      <scheme val="minor"/>
    </font>
    <font>
      <sz val="8"/>
      <color indexed="81"/>
      <name val="Tahoma"/>
      <family val="2"/>
    </font>
    <font>
      <b/>
      <sz val="8"/>
      <color indexed="81"/>
      <name val="Tahoma"/>
      <family val="2"/>
    </font>
    <font>
      <sz val="12"/>
      <name val="Calibri"/>
      <family val="2"/>
      <scheme val="minor"/>
    </font>
    <font>
      <i/>
      <sz val="24"/>
      <color theme="1"/>
      <name val="Calibri"/>
      <family val="2"/>
      <scheme val="minor"/>
    </font>
    <font>
      <sz val="18"/>
      <color theme="1"/>
      <name val="Calibri"/>
      <family val="2"/>
      <scheme val="minor"/>
    </font>
    <font>
      <b/>
      <i/>
      <sz val="12"/>
      <name val="Calibri"/>
      <family val="2"/>
      <scheme val="minor"/>
    </font>
    <font>
      <u/>
      <sz val="12"/>
      <color theme="10"/>
      <name val="Calibri"/>
      <family val="2"/>
    </font>
    <font>
      <b/>
      <sz val="12"/>
      <color theme="0"/>
      <name val="Calibri"/>
      <family val="2"/>
      <scheme val="minor"/>
    </font>
    <font>
      <b/>
      <sz val="12"/>
      <name val="Arial"/>
      <family val="2"/>
    </font>
    <font>
      <b/>
      <sz val="10"/>
      <name val="Arial"/>
      <family val="2"/>
    </font>
    <font>
      <sz val="11"/>
      <color theme="1"/>
      <name val="Calibri"/>
      <family val="2"/>
      <scheme val="minor"/>
    </font>
    <font>
      <sz val="10"/>
      <name val="Courier"/>
      <family val="3"/>
    </font>
    <font>
      <sz val="20"/>
      <color theme="1"/>
      <name val="Calibri"/>
      <family val="2"/>
      <scheme val="minor"/>
    </font>
    <font>
      <sz val="12"/>
      <color theme="1"/>
      <name val="Arial"/>
      <family val="2"/>
    </font>
    <font>
      <sz val="12"/>
      <color rgb="FF000000"/>
      <name val="Arial"/>
      <family val="2"/>
    </font>
    <font>
      <sz val="16"/>
      <color theme="1"/>
      <name val="Calibri"/>
      <family val="2"/>
      <scheme val="minor"/>
    </font>
    <font>
      <sz val="28"/>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b/>
      <sz val="10"/>
      <color theme="1"/>
      <name val="Calibri"/>
      <family val="2"/>
      <scheme val="minor"/>
    </font>
    <font>
      <b/>
      <sz val="24"/>
      <color theme="1"/>
      <name val="Calibri"/>
      <family val="2"/>
      <scheme val="minor"/>
    </font>
    <font>
      <b/>
      <sz val="14"/>
      <color rgb="FFFF0000"/>
      <name val="Calibri"/>
      <family val="2"/>
      <scheme val="minor"/>
    </font>
    <font>
      <i/>
      <sz val="9"/>
      <color theme="1"/>
      <name val="Calibri"/>
      <family val="2"/>
      <scheme val="minor"/>
    </font>
    <font>
      <sz val="10"/>
      <color indexed="81"/>
      <name val="Calibri"/>
      <family val="2"/>
      <scheme val="minor"/>
    </font>
    <font>
      <b/>
      <sz val="14"/>
      <color indexed="81"/>
      <name val="Calibri"/>
      <family val="2"/>
      <scheme val="minor"/>
    </font>
    <font>
      <sz val="10"/>
      <name val="Arial"/>
      <family val="2"/>
    </font>
    <font>
      <sz val="10"/>
      <name val="Arial Narrow"/>
      <family val="2"/>
    </font>
    <font>
      <sz val="10"/>
      <color indexed="10"/>
      <name val="Arial"/>
      <family val="2"/>
    </font>
    <font>
      <sz val="10"/>
      <color indexed="81"/>
      <name val="Tahoma"/>
      <family val="2"/>
    </font>
    <font>
      <b/>
      <sz val="10"/>
      <color indexed="81"/>
      <name val="Tahoma"/>
      <family val="2"/>
    </font>
    <font>
      <sz val="10"/>
      <color indexed="17"/>
      <name val="Arial"/>
      <family val="2"/>
    </font>
    <font>
      <sz val="10"/>
      <color indexed="12"/>
      <name val="Arial"/>
      <family val="2"/>
    </font>
    <font>
      <sz val="10"/>
      <color indexed="20"/>
      <name val="Arial"/>
      <family val="2"/>
    </font>
    <font>
      <sz val="10"/>
      <name val="Courier"/>
      <family val="3"/>
    </font>
    <font>
      <b/>
      <sz val="14"/>
      <color theme="1"/>
      <name val="Arial"/>
      <family val="2"/>
    </font>
    <font>
      <sz val="12"/>
      <name val="Calibri"/>
      <family val="2"/>
    </font>
    <font>
      <b/>
      <sz val="10"/>
      <color rgb="FF000000"/>
      <name val="Arial"/>
      <family val="2"/>
    </font>
    <font>
      <sz val="10"/>
      <color rgb="FF000000"/>
      <name val="Arial"/>
      <family val="2"/>
    </font>
    <font>
      <i/>
      <sz val="12"/>
      <name val="Calibri"/>
      <family val="2"/>
      <scheme val="minor"/>
    </font>
    <font>
      <sz val="14"/>
      <color indexed="8"/>
      <name val="Calibri"/>
      <family val="2"/>
    </font>
    <font>
      <sz val="10"/>
      <color indexed="8"/>
      <name val="Arial"/>
      <family val="2"/>
    </font>
    <font>
      <sz val="14"/>
      <color rgb="FF000000"/>
      <name val="Calibri"/>
      <family val="2"/>
    </font>
    <font>
      <b/>
      <sz val="11"/>
      <color theme="1"/>
      <name val="Arial"/>
      <family val="2"/>
    </font>
    <font>
      <b/>
      <sz val="12"/>
      <color theme="1"/>
      <name val="Arial"/>
      <family val="2"/>
    </font>
    <font>
      <b/>
      <sz val="12"/>
      <color indexed="8"/>
      <name val="Arial"/>
      <family val="2"/>
    </font>
    <font>
      <b/>
      <sz val="11"/>
      <color theme="1"/>
      <name val="Calibri"/>
      <family val="2"/>
      <scheme val="minor"/>
    </font>
    <font>
      <b/>
      <sz val="18"/>
      <color theme="0"/>
      <name val="Calibri"/>
      <family val="2"/>
      <scheme val="minor"/>
    </font>
    <font>
      <sz val="15"/>
      <name val="Calibri"/>
      <family val="2"/>
      <scheme val="minor"/>
    </font>
    <font>
      <sz val="10"/>
      <name val="Courier"/>
      <family val="3"/>
    </font>
  </fonts>
  <fills count="50">
    <fill>
      <patternFill patternType="none"/>
    </fill>
    <fill>
      <patternFill patternType="gray125"/>
    </fill>
    <fill>
      <patternFill patternType="solid">
        <fgColor theme="4" tint="0.79998168889431442"/>
        <bgColor indexed="64"/>
      </patternFill>
    </fill>
    <fill>
      <patternFill patternType="solid">
        <fgColor theme="3" tint="0.59996337778862885"/>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rgb="FFA5A5A5"/>
      </patternFill>
    </fill>
    <fill>
      <gradientFill degree="270">
        <stop position="0">
          <color theme="0"/>
        </stop>
        <stop position="1">
          <color theme="4"/>
        </stop>
      </gradientFill>
    </fill>
    <fill>
      <gradientFill degree="90">
        <stop position="0">
          <color theme="0"/>
        </stop>
        <stop position="1">
          <color theme="4"/>
        </stop>
      </gradientFill>
    </fill>
    <fill>
      <gradientFill degree="90">
        <stop position="0">
          <color theme="0"/>
        </stop>
        <stop position="1">
          <color theme="3" tint="0.8000122074037904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auto="1"/>
      </patternFill>
    </fill>
    <fill>
      <patternFill patternType="solid">
        <fgColor theme="0" tint="-0.14999847407452621"/>
        <bgColor indexed="64"/>
      </patternFill>
    </fill>
    <fill>
      <patternFill patternType="solid">
        <fgColor theme="8" tint="-0.249977111117893"/>
        <bgColor indexed="64"/>
      </patternFill>
    </fill>
    <fill>
      <patternFill patternType="solid">
        <fgColor theme="0" tint="-0.14996795556505021"/>
        <bgColor indexed="64"/>
      </patternFill>
    </fill>
    <fill>
      <patternFill patternType="solid">
        <fgColor theme="2" tint="-0.49998474074526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4" tint="0.59999389629810485"/>
        <bgColor theme="4" tint="0.59999389629810485"/>
      </patternFill>
    </fill>
  </fills>
  <borders count="67">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medium">
        <color indexed="64"/>
      </bottom>
      <diagonal/>
    </border>
    <border>
      <left/>
      <right/>
      <top/>
      <bottom style="thin">
        <color theme="4" tint="0.39997558519241921"/>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diagonal/>
    </border>
  </borders>
  <cellStyleXfs count="106">
    <xf numFmtId="0" fontId="0" fillId="0" borderId="0"/>
    <xf numFmtId="9" fontId="1" fillId="0" borderId="0" applyFont="0" applyFill="0" applyBorder="0" applyAlignment="0" applyProtection="0"/>
    <xf numFmtId="0" fontId="11" fillId="0" borderId="0"/>
    <xf numFmtId="0" fontId="16" fillId="0" borderId="0" applyNumberFormat="0" applyFill="0" applyBorder="0" applyAlignment="0" applyProtection="0">
      <alignment vertical="top"/>
      <protection locked="0"/>
    </xf>
    <xf numFmtId="0" fontId="2" fillId="7" borderId="11" applyNumberFormat="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xf numFmtId="43" fontId="11" fillId="0" borderId="0" applyFont="0" applyFill="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40"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5" fillId="12" borderId="0" applyNumberFormat="0" applyBorder="0" applyAlignment="0" applyProtection="0"/>
    <xf numFmtId="0" fontId="26" fillId="15" borderId="17" applyNumberFormat="0" applyAlignment="0" applyProtection="0"/>
    <xf numFmtId="0" fontId="27" fillId="7" borderId="11"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4" borderId="17" applyNumberFormat="0" applyAlignment="0" applyProtection="0"/>
    <xf numFmtId="0" fontId="34" fillId="0" borderId="19" applyNumberFormat="0" applyFill="0" applyAlignment="0" applyProtection="0"/>
    <xf numFmtId="0" fontId="35" fillId="13"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3" fillId="0" borderId="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23" fillId="16" borderId="20" applyNumberFormat="0" applyFont="0" applyAlignment="0" applyProtection="0"/>
    <xf numFmtId="0" fontId="36" fillId="15" borderId="18" applyNumberFormat="0" applyAlignment="0" applyProtection="0"/>
    <xf numFmtId="9"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44" fontId="1" fillId="0" borderId="0" applyFont="0" applyFill="0" applyBorder="0" applyAlignment="0" applyProtection="0"/>
    <xf numFmtId="0" fontId="52" fillId="0" borderId="0"/>
    <xf numFmtId="9" fontId="52" fillId="0" borderId="0" applyFont="0" applyFill="0" applyBorder="0" applyAlignment="0" applyProtection="0"/>
    <xf numFmtId="169" fontId="53" fillId="0" borderId="0"/>
    <xf numFmtId="0" fontId="69" fillId="0" borderId="0"/>
    <xf numFmtId="44" fontId="11" fillId="0" borderId="0" applyFont="0" applyFill="0" applyBorder="0" applyAlignment="0" applyProtection="0"/>
    <xf numFmtId="0" fontId="11" fillId="0" borderId="0"/>
    <xf numFmtId="169" fontId="77" fillId="0" borderId="0"/>
    <xf numFmtId="0" fontId="84" fillId="0" borderId="0"/>
    <xf numFmtId="0" fontId="84" fillId="0" borderId="0"/>
    <xf numFmtId="169" fontId="92" fillId="0" borderId="0"/>
    <xf numFmtId="169" fontId="53" fillId="0" borderId="0"/>
    <xf numFmtId="0" fontId="1" fillId="0" borderId="0"/>
  </cellStyleXfs>
  <cellXfs count="683">
    <xf numFmtId="0" fontId="0" fillId="0" borderId="0" xfId="0"/>
    <xf numFmtId="3" fontId="0" fillId="0" borderId="0" xfId="0" applyNumberFormat="1"/>
    <xf numFmtId="0" fontId="0" fillId="0" borderId="0" xfId="0" applyAlignment="1">
      <alignment wrapText="1"/>
    </xf>
    <xf numFmtId="0" fontId="0" fillId="0" borderId="0" xfId="0" applyFill="1" applyBorder="1"/>
    <xf numFmtId="0" fontId="4" fillId="2" borderId="0" xfId="0" applyFont="1" applyFill="1" applyBorder="1"/>
    <xf numFmtId="0" fontId="0" fillId="0" borderId="0" xfId="0" applyFill="1"/>
    <xf numFmtId="0" fontId="4" fillId="0" borderId="0" xfId="0" applyFont="1" applyFill="1" applyBorder="1"/>
    <xf numFmtId="10" fontId="5" fillId="0" borderId="0" xfId="0" applyNumberFormat="1" applyFont="1" applyFill="1" applyBorder="1" applyAlignment="1">
      <alignment horizontal="center"/>
    </xf>
    <xf numFmtId="0" fontId="5" fillId="0" borderId="0" xfId="0" applyFont="1" applyFill="1" applyBorder="1" applyAlignment="1">
      <alignment horizontal="center" wrapText="1"/>
    </xf>
    <xf numFmtId="0" fontId="4" fillId="0" borderId="0" xfId="0" applyFont="1"/>
    <xf numFmtId="0" fontId="5"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applyBorder="1"/>
    <xf numFmtId="0" fontId="0" fillId="0" borderId="0" xfId="0" applyBorder="1"/>
    <xf numFmtId="3" fontId="0" fillId="0" borderId="0" xfId="0" applyNumberFormat="1" applyBorder="1"/>
    <xf numFmtId="9" fontId="0" fillId="0" borderId="0" xfId="0" applyNumberFormat="1"/>
    <xf numFmtId="9" fontId="0" fillId="0" borderId="0" xfId="1" applyFont="1" applyAlignment="1">
      <alignment wrapText="1"/>
    </xf>
    <xf numFmtId="9" fontId="0" fillId="0" borderId="0" xfId="1" applyFont="1"/>
    <xf numFmtId="0" fontId="11" fillId="0" borderId="0" xfId="2"/>
    <xf numFmtId="9" fontId="4" fillId="0" borderId="0" xfId="0" applyNumberFormat="1" applyFont="1" applyBorder="1" applyAlignment="1">
      <alignment horizontal="center"/>
    </xf>
    <xf numFmtId="0" fontId="18" fillId="0" borderId="0" xfId="0" applyFont="1"/>
    <xf numFmtId="0" fontId="11" fillId="0" borderId="0" xfId="2"/>
    <xf numFmtId="3" fontId="5" fillId="8" borderId="0" xfId="0" applyNumberFormat="1" applyFont="1" applyFill="1" applyBorder="1" applyAlignment="1">
      <alignment horizontal="left" wrapText="1"/>
    </xf>
    <xf numFmtId="3" fontId="4" fillId="0" borderId="0" xfId="0" applyNumberFormat="1" applyFont="1" applyBorder="1" applyAlignment="1">
      <alignment horizontal="left" indent="1"/>
    </xf>
    <xf numFmtId="9" fontId="0" fillId="0" borderId="0" xfId="0" applyNumberFormat="1" applyBorder="1"/>
    <xf numFmtId="9" fontId="0" fillId="0" borderId="0" xfId="0" applyNumberFormat="1" applyFill="1" applyBorder="1"/>
    <xf numFmtId="0" fontId="11" fillId="0" borderId="0" xfId="2" applyBorder="1"/>
    <xf numFmtId="0" fontId="4" fillId="0" borderId="0" xfId="0" applyFont="1" applyFill="1" applyBorder="1" applyAlignment="1">
      <alignment horizontal="center" wrapText="1"/>
    </xf>
    <xf numFmtId="0" fontId="14" fillId="8" borderId="0" xfId="0" applyFont="1" applyFill="1" applyBorder="1" applyAlignment="1">
      <alignment wrapText="1"/>
    </xf>
    <xf numFmtId="0" fontId="12" fillId="8" borderId="0" xfId="0" applyFont="1" applyFill="1" applyBorder="1" applyAlignment="1">
      <alignment wrapText="1"/>
    </xf>
    <xf numFmtId="0" fontId="12" fillId="8" borderId="0" xfId="0" applyFont="1" applyFill="1" applyBorder="1" applyAlignment="1">
      <alignment horizontal="center" wrapText="1"/>
    </xf>
    <xf numFmtId="0" fontId="5" fillId="8" borderId="0" xfId="0" applyFont="1" applyFill="1" applyBorder="1" applyAlignment="1">
      <alignment wrapText="1"/>
    </xf>
    <xf numFmtId="164" fontId="0" fillId="0" borderId="0" xfId="0" applyNumberFormat="1" applyBorder="1"/>
    <xf numFmtId="0" fontId="0" fillId="0" borderId="0" xfId="0" applyFont="1" applyBorder="1" applyAlignment="1">
      <alignment horizontal="left"/>
    </xf>
    <xf numFmtId="0" fontId="4" fillId="0" borderId="0" xfId="0" applyFont="1" applyBorder="1" applyAlignment="1">
      <alignment horizontal="left"/>
    </xf>
    <xf numFmtId="0" fontId="18" fillId="0" borderId="0" xfId="0" applyFont="1" applyBorder="1"/>
    <xf numFmtId="0" fontId="4" fillId="0" borderId="0" xfId="0" applyFont="1" applyBorder="1" applyAlignment="1">
      <alignment horizontal="left" wrapText="1"/>
    </xf>
    <xf numFmtId="0" fontId="6" fillId="8" borderId="0" xfId="0" applyFont="1" applyFill="1" applyBorder="1" applyAlignment="1">
      <alignment horizontal="center" wrapText="1"/>
    </xf>
    <xf numFmtId="10" fontId="5" fillId="0" borderId="0" xfId="0" applyNumberFormat="1" applyFont="1" applyFill="1" applyBorder="1" applyAlignment="1">
      <alignment horizontal="center" wrapText="1"/>
    </xf>
    <xf numFmtId="3" fontId="10" fillId="0" borderId="0" xfId="0" applyNumberFormat="1" applyFont="1" applyFill="1" applyBorder="1" applyAlignment="1">
      <alignment horizontal="center"/>
    </xf>
    <xf numFmtId="0" fontId="0" fillId="0" borderId="0" xfId="0" applyFill="1" applyBorder="1" applyAlignment="1">
      <alignment wrapText="1"/>
    </xf>
    <xf numFmtId="0" fontId="2" fillId="0" borderId="0" xfId="4" applyFill="1" applyBorder="1"/>
    <xf numFmtId="3" fontId="10" fillId="0" borderId="0" xfId="0" applyNumberFormat="1" applyFont="1" applyFill="1" applyBorder="1" applyAlignment="1">
      <alignment horizontal="center" wrapText="1"/>
    </xf>
    <xf numFmtId="0" fontId="11" fillId="0" borderId="0" xfId="2" applyBorder="1" applyAlignment="1">
      <alignment horizontal="left"/>
    </xf>
    <xf numFmtId="0" fontId="6" fillId="8" borderId="0" xfId="0" applyFont="1" applyFill="1" applyBorder="1" applyAlignment="1">
      <alignment horizontal="left" wrapText="1"/>
    </xf>
    <xf numFmtId="164" fontId="0" fillId="0" borderId="0" xfId="0" applyNumberFormat="1" applyBorder="1" applyAlignment="1">
      <alignment horizontal="left"/>
    </xf>
    <xf numFmtId="0" fontId="0" fillId="0" borderId="0" xfId="0" applyBorder="1" applyAlignment="1">
      <alignment horizontal="left"/>
    </xf>
    <xf numFmtId="0" fontId="0" fillId="0" borderId="0" xfId="0" applyAlignment="1">
      <alignment horizontal="left"/>
    </xf>
    <xf numFmtId="0" fontId="14" fillId="8" borderId="0" xfId="0" applyFont="1" applyFill="1" applyBorder="1" applyAlignment="1">
      <alignment horizontal="left" wrapText="1"/>
    </xf>
    <xf numFmtId="3" fontId="0" fillId="0" borderId="0" xfId="0" applyNumberFormat="1" applyBorder="1" applyAlignment="1">
      <alignment horizontal="left"/>
    </xf>
    <xf numFmtId="0" fontId="17" fillId="8" borderId="0" xfId="0" applyFont="1" applyFill="1" applyBorder="1" applyAlignment="1">
      <alignment horizontal="left"/>
    </xf>
    <xf numFmtId="0" fontId="0" fillId="0" borderId="0" xfId="0" applyFill="1" applyBorder="1" applyAlignment="1">
      <alignment horizontal="left"/>
    </xf>
    <xf numFmtId="9" fontId="0" fillId="0" borderId="0" xfId="0" applyNumberFormat="1" applyBorder="1" applyAlignment="1">
      <alignment horizontal="left"/>
    </xf>
    <xf numFmtId="9" fontId="4" fillId="0" borderId="0" xfId="0" applyNumberFormat="1" applyFont="1" applyBorder="1" applyAlignment="1">
      <alignment horizontal="left"/>
    </xf>
    <xf numFmtId="0" fontId="5" fillId="8" borderId="0" xfId="0" applyFont="1" applyFill="1" applyBorder="1" applyAlignment="1">
      <alignment horizontal="left" wrapText="1"/>
    </xf>
    <xf numFmtId="0" fontId="11" fillId="0" borderId="0" xfId="2" applyAlignment="1">
      <alignment horizontal="left"/>
    </xf>
    <xf numFmtId="0" fontId="17" fillId="8" borderId="0" xfId="0" applyFont="1" applyFill="1" applyBorder="1" applyAlignment="1">
      <alignment vertical="top"/>
    </xf>
    <xf numFmtId="0" fontId="17" fillId="8" borderId="0" xfId="0" applyFont="1" applyFill="1" applyBorder="1" applyAlignment="1"/>
    <xf numFmtId="0" fontId="39" fillId="9" borderId="0" xfId="0" applyFont="1" applyFill="1" applyBorder="1" applyAlignment="1"/>
    <xf numFmtId="3" fontId="10" fillId="0" borderId="0" xfId="1" applyNumberFormat="1" applyFont="1" applyFill="1" applyBorder="1" applyAlignment="1">
      <alignment horizontal="center"/>
    </xf>
    <xf numFmtId="9" fontId="10"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2" fillId="0" borderId="0" xfId="4" applyFill="1" applyBorder="1" applyAlignment="1">
      <alignment wrapText="1"/>
    </xf>
    <xf numFmtId="9" fontId="10" fillId="0" borderId="0" xfId="0" applyNumberFormat="1" applyFont="1" applyFill="1" applyBorder="1" applyAlignment="1">
      <alignment horizontal="center" wrapText="1"/>
    </xf>
    <xf numFmtId="3" fontId="6" fillId="0" borderId="0" xfId="0" applyNumberFormat="1" applyFont="1" applyFill="1" applyBorder="1"/>
    <xf numFmtId="3" fontId="0" fillId="0" borderId="0" xfId="0" applyNumberFormat="1" applyFill="1" applyBorder="1"/>
    <xf numFmtId="0" fontId="11" fillId="0" borderId="0" xfId="2" applyFill="1" applyBorder="1"/>
    <xf numFmtId="3" fontId="14" fillId="0" borderId="0" xfId="4" applyNumberFormat="1" applyFont="1" applyFill="1" applyBorder="1" applyAlignment="1">
      <alignment horizontal="center"/>
    </xf>
    <xf numFmtId="3" fontId="14" fillId="0" borderId="0" xfId="4" applyNumberFormat="1" applyFont="1" applyFill="1" applyBorder="1" applyAlignment="1">
      <alignment horizontal="center" wrapText="1"/>
    </xf>
    <xf numFmtId="3" fontId="22" fillId="0" borderId="0" xfId="0" applyNumberFormat="1" applyFont="1" applyFill="1" applyBorder="1"/>
    <xf numFmtId="9" fontId="2" fillId="0" borderId="0" xfId="4" applyNumberFormat="1" applyFill="1" applyBorder="1"/>
    <xf numFmtId="3" fontId="14" fillId="0" borderId="0" xfId="4" applyNumberFormat="1" applyFont="1" applyFill="1" applyBorder="1"/>
    <xf numFmtId="3" fontId="2" fillId="0" borderId="0" xfId="4" applyNumberFormat="1" applyFill="1" applyBorder="1"/>
    <xf numFmtId="0" fontId="15" fillId="0" borderId="0" xfId="2" applyFont="1" applyBorder="1" applyAlignment="1">
      <alignment vertical="center" wrapText="1"/>
    </xf>
    <xf numFmtId="0" fontId="15" fillId="0" borderId="0" xfId="2" applyFont="1" applyAlignment="1">
      <alignment vertical="center" wrapText="1"/>
    </xf>
    <xf numFmtId="0" fontId="9" fillId="0" borderId="0" xfId="0" applyFont="1" applyAlignment="1">
      <alignment vertical="center" wrapText="1"/>
    </xf>
    <xf numFmtId="3" fontId="5" fillId="10" borderId="0" xfId="0" applyNumberFormat="1" applyFont="1" applyFill="1" applyBorder="1" applyAlignment="1">
      <alignment horizontal="left" wrapText="1"/>
    </xf>
    <xf numFmtId="167" fontId="5" fillId="10" borderId="0" xfId="0" applyNumberFormat="1" applyFont="1" applyFill="1" applyBorder="1" applyAlignment="1">
      <alignment horizontal="left" wrapText="1"/>
    </xf>
    <xf numFmtId="2" fontId="13" fillId="10" borderId="0" xfId="2" applyNumberFormat="1" applyFont="1" applyFill="1" applyBorder="1" applyAlignment="1">
      <alignment horizontal="left" wrapText="1"/>
    </xf>
    <xf numFmtId="165" fontId="4" fillId="0" borderId="0" xfId="0" applyNumberFormat="1" applyFont="1" applyFill="1" applyBorder="1"/>
    <xf numFmtId="0" fontId="4" fillId="4" borderId="0" xfId="0" applyFont="1" applyFill="1"/>
    <xf numFmtId="0" fontId="4" fillId="0" borderId="0" xfId="0" applyFont="1" applyFill="1" applyBorder="1" applyAlignment="1">
      <alignment wrapText="1"/>
    </xf>
    <xf numFmtId="3" fontId="44" fillId="0" borderId="0" xfId="0" applyNumberFormat="1" applyFont="1" applyFill="1" applyBorder="1" applyAlignment="1">
      <alignment horizontal="center"/>
    </xf>
    <xf numFmtId="0" fontId="44" fillId="0" borderId="0" xfId="0" applyFont="1" applyFill="1" applyBorder="1"/>
    <xf numFmtId="0" fontId="44" fillId="0" borderId="0" xfId="0" applyFont="1" applyFill="1" applyBorder="1" applyAlignment="1">
      <alignment horizontal="center"/>
    </xf>
    <xf numFmtId="165" fontId="44" fillId="0" borderId="0" xfId="0" applyNumberFormat="1" applyFont="1" applyFill="1" applyBorder="1" applyAlignment="1">
      <alignment horizontal="center"/>
    </xf>
    <xf numFmtId="0" fontId="44" fillId="0" borderId="0" xfId="0" applyFont="1" applyFill="1" applyBorder="1" applyAlignment="1">
      <alignment wrapText="1"/>
    </xf>
    <xf numFmtId="0" fontId="13" fillId="41" borderId="6" xfId="0" applyFont="1" applyFill="1" applyBorder="1" applyAlignment="1">
      <alignment horizontal="left" vertical="center"/>
    </xf>
    <xf numFmtId="3" fontId="44" fillId="0" borderId="6" xfId="0" applyNumberFormat="1" applyFont="1" applyFill="1" applyBorder="1" applyAlignment="1">
      <alignment horizontal="left" wrapText="1"/>
    </xf>
    <xf numFmtId="0" fontId="44" fillId="0" borderId="6" xfId="0" applyFont="1" applyFill="1" applyBorder="1" applyAlignment="1">
      <alignment wrapText="1"/>
    </xf>
    <xf numFmtId="9" fontId="44" fillId="0" borderId="6" xfId="0" applyNumberFormat="1" applyFont="1" applyFill="1" applyBorder="1" applyAlignment="1">
      <alignment wrapText="1"/>
    </xf>
    <xf numFmtId="10" fontId="13" fillId="0" borderId="6" xfId="0" applyNumberFormat="1" applyFont="1" applyFill="1" applyBorder="1" applyAlignment="1">
      <alignment horizontal="left"/>
    </xf>
    <xf numFmtId="10" fontId="13" fillId="0" borderId="6" xfId="0" applyNumberFormat="1" applyFont="1" applyFill="1" applyBorder="1" applyAlignment="1">
      <alignment horizontal="left" wrapText="1"/>
    </xf>
    <xf numFmtId="0" fontId="13" fillId="0" borderId="6" xfId="0" applyFont="1" applyFill="1" applyBorder="1" applyAlignment="1">
      <alignment horizontal="left" wrapText="1"/>
    </xf>
    <xf numFmtId="0" fontId="13" fillId="0" borderId="6" xfId="0" applyFont="1" applyFill="1" applyBorder="1" applyAlignment="1">
      <alignment horizontal="left"/>
    </xf>
    <xf numFmtId="0" fontId="13" fillId="0" borderId="6" xfId="0" applyFont="1" applyBorder="1"/>
    <xf numFmtId="0" fontId="44" fillId="0" borderId="6" xfId="0" applyFont="1" applyBorder="1" applyAlignment="1">
      <alignment horizontal="left" indent="3"/>
    </xf>
    <xf numFmtId="0" fontId="18" fillId="4" borderId="6" xfId="0" applyFont="1" applyFill="1" applyBorder="1"/>
    <xf numFmtId="0" fontId="44" fillId="4" borderId="6" xfId="0" applyFont="1" applyFill="1" applyBorder="1" applyAlignment="1">
      <alignment horizontal="left"/>
    </xf>
    <xf numFmtId="0" fontId="5" fillId="0" borderId="6" xfId="0" applyFont="1" applyBorder="1"/>
    <xf numFmtId="0" fontId="4" fillId="0" borderId="6" xfId="0" applyFont="1" applyBorder="1" applyAlignment="1">
      <alignment wrapText="1"/>
    </xf>
    <xf numFmtId="9" fontId="44" fillId="0" borderId="6" xfId="0" applyNumberFormat="1" applyFont="1" applyBorder="1" applyAlignment="1">
      <alignment wrapText="1"/>
    </xf>
    <xf numFmtId="3" fontId="44" fillId="0" borderId="6" xfId="0" applyNumberFormat="1" applyFont="1" applyBorder="1" applyAlignment="1">
      <alignment wrapText="1"/>
    </xf>
    <xf numFmtId="3" fontId="44" fillId="41" borderId="6" xfId="0" applyNumberFormat="1" applyFont="1" applyFill="1" applyBorder="1" applyAlignment="1">
      <alignment vertical="center" wrapText="1"/>
    </xf>
    <xf numFmtId="4" fontId="44" fillId="0" borderId="6" xfId="0" applyNumberFormat="1" applyFont="1" applyBorder="1" applyAlignment="1">
      <alignment wrapText="1"/>
    </xf>
    <xf numFmtId="3" fontId="44" fillId="0" borderId="6" xfId="0" applyNumberFormat="1" applyFont="1" applyFill="1" applyBorder="1" applyAlignment="1">
      <alignment horizontal="left" wrapText="1"/>
    </xf>
    <xf numFmtId="9" fontId="44" fillId="0" borderId="6" xfId="0" applyNumberFormat="1" applyFont="1" applyFill="1" applyBorder="1" applyAlignment="1">
      <alignment horizontal="left" wrapText="1"/>
    </xf>
    <xf numFmtId="0" fontId="16" fillId="0" borderId="6" xfId="3" applyFill="1" applyBorder="1" applyAlignment="1" applyProtection="1">
      <alignment horizontal="left" wrapText="1"/>
    </xf>
    <xf numFmtId="0" fontId="16" fillId="0" borderId="6" xfId="3" applyBorder="1" applyAlignment="1" applyProtection="1">
      <alignment horizontal="left" wrapText="1"/>
    </xf>
    <xf numFmtId="0" fontId="16" fillId="0" borderId="6" xfId="3" applyFill="1" applyBorder="1" applyAlignment="1" applyProtection="1">
      <alignment horizontal="left" vertical="center" wrapText="1"/>
    </xf>
    <xf numFmtId="0" fontId="13" fillId="0" borderId="0" xfId="0" applyFont="1" applyFill="1" applyBorder="1" applyAlignment="1">
      <alignment wrapText="1"/>
    </xf>
    <xf numFmtId="9" fontId="44" fillId="0" borderId="0" xfId="0" applyNumberFormat="1" applyFont="1" applyFill="1" applyBorder="1" applyAlignment="1">
      <alignment wrapText="1"/>
    </xf>
    <xf numFmtId="0" fontId="16" fillId="0" borderId="6" xfId="3" applyFill="1" applyBorder="1" applyAlignment="1" applyProtection="1">
      <alignment wrapText="1"/>
    </xf>
    <xf numFmtId="9" fontId="44" fillId="0" borderId="6" xfId="1" applyFont="1" applyFill="1" applyBorder="1" applyAlignment="1">
      <alignment horizontal="left" wrapText="1"/>
    </xf>
    <xf numFmtId="0" fontId="44" fillId="4" borderId="29" xfId="0" applyFont="1" applyFill="1" applyBorder="1"/>
    <xf numFmtId="3" fontId="44" fillId="0" borderId="0" xfId="0" applyNumberFormat="1" applyFont="1" applyFill="1" applyBorder="1" applyAlignment="1">
      <alignment wrapText="1"/>
    </xf>
    <xf numFmtId="0" fontId="44" fillId="4" borderId="7" xfId="0" applyFont="1" applyFill="1" applyBorder="1" applyAlignment="1">
      <alignment horizontal="left"/>
    </xf>
    <xf numFmtId="0" fontId="44" fillId="4" borderId="7" xfId="0" applyFont="1" applyFill="1" applyBorder="1"/>
    <xf numFmtId="3" fontId="44" fillId="4" borderId="7" xfId="0" applyNumberFormat="1" applyFont="1" applyFill="1" applyBorder="1" applyAlignment="1">
      <alignment vertical="center" wrapText="1"/>
    </xf>
    <xf numFmtId="0" fontId="16" fillId="0" borderId="29" xfId="3" applyFill="1" applyBorder="1" applyAlignment="1" applyProtection="1">
      <alignment vertical="center" wrapText="1"/>
    </xf>
    <xf numFmtId="0" fontId="44" fillId="4" borderId="8" xfId="0" applyFont="1" applyFill="1" applyBorder="1"/>
    <xf numFmtId="0" fontId="44" fillId="4" borderId="22" xfId="0" applyFont="1" applyFill="1" applyBorder="1"/>
    <xf numFmtId="10" fontId="13" fillId="0" borderId="0" xfId="0" applyNumberFormat="1" applyFont="1" applyFill="1" applyBorder="1" applyAlignment="1">
      <alignment wrapText="1"/>
    </xf>
    <xf numFmtId="0" fontId="13" fillId="0" borderId="0" xfId="4" applyFont="1" applyFill="1" applyBorder="1" applyAlignment="1">
      <alignment wrapText="1"/>
    </xf>
    <xf numFmtId="10" fontId="44" fillId="0" borderId="0" xfId="0" applyNumberFormat="1" applyFont="1" applyFill="1" applyBorder="1" applyAlignment="1">
      <alignment wrapText="1"/>
    </xf>
    <xf numFmtId="0" fontId="13" fillId="0" borderId="1" xfId="0" applyFont="1" applyFill="1" applyBorder="1" applyAlignment="1">
      <alignment wrapText="1"/>
    </xf>
    <xf numFmtId="0" fontId="44" fillId="0" borderId="3" xfId="0" applyFont="1" applyFill="1" applyBorder="1" applyAlignment="1">
      <alignment wrapText="1"/>
    </xf>
    <xf numFmtId="10" fontId="13" fillId="0" borderId="1" xfId="0" applyNumberFormat="1" applyFont="1" applyFill="1" applyBorder="1" applyAlignment="1">
      <alignment horizontal="center" wrapText="1"/>
    </xf>
    <xf numFmtId="3" fontId="13" fillId="41" borderId="1" xfId="0" applyNumberFormat="1" applyFont="1" applyFill="1" applyBorder="1" applyAlignment="1">
      <alignment vertical="center" wrapText="1"/>
    </xf>
    <xf numFmtId="10" fontId="13" fillId="0" borderId="3" xfId="0" applyNumberFormat="1" applyFont="1" applyFill="1" applyBorder="1" applyAlignment="1">
      <alignment wrapText="1"/>
    </xf>
    <xf numFmtId="0" fontId="13" fillId="0" borderId="1" xfId="4" applyFont="1" applyFill="1" applyBorder="1" applyAlignment="1">
      <alignment wrapText="1"/>
    </xf>
    <xf numFmtId="3" fontId="44" fillId="0" borderId="3" xfId="1" applyNumberFormat="1" applyFont="1" applyFill="1" applyBorder="1" applyAlignment="1">
      <alignment wrapText="1"/>
    </xf>
    <xf numFmtId="9" fontId="44" fillId="0" borderId="3" xfId="0" applyNumberFormat="1" applyFont="1" applyFill="1" applyBorder="1" applyAlignment="1">
      <alignment wrapText="1"/>
    </xf>
    <xf numFmtId="0" fontId="0" fillId="0" borderId="0" xfId="0" applyFill="1" applyAlignment="1">
      <alignment wrapText="1"/>
    </xf>
    <xf numFmtId="0" fontId="0" fillId="0" borderId="0" xfId="0" applyFill="1" applyBorder="1" applyAlignment="1"/>
    <xf numFmtId="0" fontId="18" fillId="0" borderId="0" xfId="0" applyFont="1" applyAlignment="1"/>
    <xf numFmtId="9" fontId="44" fillId="0" borderId="0" xfId="0" applyNumberFormat="1" applyFont="1" applyFill="1" applyBorder="1" applyAlignment="1">
      <alignment horizontal="center"/>
    </xf>
    <xf numFmtId="0" fontId="13" fillId="0" borderId="6" xfId="0" applyFont="1" applyFill="1" applyBorder="1" applyAlignment="1">
      <alignment wrapText="1"/>
    </xf>
    <xf numFmtId="10" fontId="49" fillId="6" borderId="9" xfId="0" applyNumberFormat="1" applyFont="1" applyFill="1" applyBorder="1" applyAlignment="1">
      <alignment wrapText="1"/>
    </xf>
    <xf numFmtId="9" fontId="0" fillId="0" borderId="0" xfId="0" applyNumberFormat="1" applyFill="1" applyBorder="1" applyAlignment="1">
      <alignment wrapText="1"/>
    </xf>
    <xf numFmtId="0" fontId="13" fillId="41" borderId="6" xfId="0" applyFont="1" applyFill="1" applyBorder="1" applyAlignment="1">
      <alignment vertical="center" wrapText="1"/>
    </xf>
    <xf numFmtId="10" fontId="49" fillId="0" borderId="0" xfId="0" applyNumberFormat="1" applyFont="1" applyFill="1" applyBorder="1" applyAlignment="1"/>
    <xf numFmtId="10" fontId="13" fillId="0" borderId="0" xfId="0" applyNumberFormat="1" applyFont="1" applyFill="1" applyBorder="1" applyAlignment="1">
      <alignment horizontal="center" wrapText="1"/>
    </xf>
    <xf numFmtId="3" fontId="4" fillId="0" borderId="0" xfId="0" applyNumberFormat="1" applyFont="1" applyFill="1" applyBorder="1" applyAlignment="1">
      <alignment horizontal="center" wrapText="1"/>
    </xf>
    <xf numFmtId="3" fontId="10" fillId="0" borderId="0" xfId="1" applyNumberFormat="1" applyFont="1" applyFill="1" applyBorder="1" applyAlignment="1">
      <alignment horizontal="center" wrapText="1"/>
    </xf>
    <xf numFmtId="9" fontId="4" fillId="0" borderId="0" xfId="0" applyNumberFormat="1" applyFont="1" applyFill="1" applyBorder="1" applyAlignment="1">
      <alignment horizontal="center" wrapText="1"/>
    </xf>
    <xf numFmtId="9" fontId="2" fillId="0" borderId="0" xfId="4" applyNumberFormat="1" applyFill="1" applyBorder="1" applyAlignment="1">
      <alignment wrapText="1"/>
    </xf>
    <xf numFmtId="0" fontId="4" fillId="0" borderId="0" xfId="0" applyFont="1" applyFill="1" applyBorder="1" applyAlignment="1">
      <alignment horizontal="center"/>
    </xf>
    <xf numFmtId="0" fontId="4" fillId="0" borderId="0" xfId="0" applyFont="1" applyAlignment="1">
      <alignment horizontal="center"/>
    </xf>
    <xf numFmtId="9" fontId="13" fillId="0" borderId="6" xfId="0" applyNumberFormat="1" applyFont="1" applyFill="1" applyBorder="1" applyAlignment="1">
      <alignment horizontal="center" wrapText="1"/>
    </xf>
    <xf numFmtId="10" fontId="13" fillId="0" borderId="6" xfId="0" applyNumberFormat="1" applyFont="1" applyFill="1" applyBorder="1"/>
    <xf numFmtId="9" fontId="13" fillId="0" borderId="6" xfId="0" applyNumberFormat="1" applyFont="1" applyFill="1" applyBorder="1" applyAlignment="1">
      <alignment horizontal="center"/>
    </xf>
    <xf numFmtId="0" fontId="13" fillId="0" borderId="6" xfId="0" applyFont="1" applyFill="1" applyBorder="1"/>
    <xf numFmtId="0" fontId="13" fillId="5" borderId="6" xfId="0" applyFont="1" applyFill="1" applyBorder="1" applyAlignment="1">
      <alignment horizontal="left" wrapText="1"/>
    </xf>
    <xf numFmtId="10" fontId="13" fillId="0" borderId="6" xfId="0" applyNumberFormat="1" applyFont="1" applyFill="1" applyBorder="1" applyAlignment="1"/>
    <xf numFmtId="10" fontId="13" fillId="0" borderId="6" xfId="0" applyNumberFormat="1" applyFont="1" applyFill="1" applyBorder="1" applyAlignment="1">
      <alignment wrapText="1"/>
    </xf>
    <xf numFmtId="3" fontId="13" fillId="0" borderId="6" xfId="0" applyNumberFormat="1" applyFont="1" applyFill="1" applyBorder="1" applyAlignment="1">
      <alignment horizontal="center"/>
    </xf>
    <xf numFmtId="0" fontId="13" fillId="0" borderId="6" xfId="0" applyFont="1" applyFill="1" applyBorder="1" applyAlignment="1"/>
    <xf numFmtId="9" fontId="13" fillId="0" borderId="6" xfId="1" applyFont="1" applyFill="1" applyBorder="1" applyAlignment="1">
      <alignment horizontal="center"/>
    </xf>
    <xf numFmtId="0" fontId="7" fillId="0" borderId="0" xfId="0" applyFont="1" applyFill="1" applyBorder="1" applyAlignment="1">
      <alignment horizontal="center" vertical="center" textRotation="255" wrapText="1"/>
    </xf>
    <xf numFmtId="0" fontId="0" fillId="0" borderId="6" xfId="0" applyBorder="1"/>
    <xf numFmtId="0" fontId="6" fillId="8" borderId="0" xfId="0" applyFont="1" applyFill="1" applyBorder="1" applyAlignment="1">
      <alignment horizontal="center" wrapText="1"/>
    </xf>
    <xf numFmtId="0" fontId="51" fillId="0" borderId="6" xfId="0" applyFont="1" applyBorder="1"/>
    <xf numFmtId="165" fontId="0" fillId="0" borderId="6" xfId="0" applyNumberFormat="1" applyBorder="1"/>
    <xf numFmtId="0" fontId="46" fillId="0" borderId="0" xfId="0" applyFont="1" applyAlignment="1">
      <alignment wrapText="1"/>
    </xf>
    <xf numFmtId="10" fontId="49" fillId="6" borderId="6" xfId="0" applyNumberFormat="1" applyFont="1" applyFill="1" applyBorder="1" applyAlignment="1">
      <alignment wrapText="1"/>
    </xf>
    <xf numFmtId="3" fontId="13" fillId="5" borderId="6" xfId="0" applyNumberFormat="1" applyFont="1" applyFill="1" applyBorder="1" applyAlignment="1">
      <alignment horizontal="center" wrapText="1"/>
    </xf>
    <xf numFmtId="3" fontId="13" fillId="0" borderId="6" xfId="0" applyNumberFormat="1" applyFont="1" applyFill="1" applyBorder="1" applyAlignment="1">
      <alignment horizontal="center" wrapText="1"/>
    </xf>
    <xf numFmtId="10" fontId="49" fillId="6" borderId="6" xfId="0" applyNumberFormat="1" applyFont="1" applyFill="1" applyBorder="1" applyAlignment="1"/>
    <xf numFmtId="0" fontId="13" fillId="2" borderId="6" xfId="0" applyFont="1" applyFill="1" applyBorder="1" applyAlignment="1">
      <alignment horizontal="center" wrapText="1"/>
    </xf>
    <xf numFmtId="0" fontId="5" fillId="2" borderId="6" xfId="0" applyFont="1" applyFill="1" applyBorder="1" applyAlignment="1">
      <alignment horizontal="center" wrapText="1"/>
    </xf>
    <xf numFmtId="0" fontId="6" fillId="0" borderId="6" xfId="0" applyFont="1" applyFill="1" applyBorder="1"/>
    <xf numFmtId="3" fontId="6" fillId="0" borderId="6" xfId="0" applyNumberFormat="1" applyFont="1" applyFill="1" applyBorder="1"/>
    <xf numFmtId="3" fontId="40" fillId="0" borderId="6" xfId="0" applyNumberFormat="1" applyFont="1" applyFill="1" applyBorder="1" applyAlignment="1">
      <alignment horizontal="center"/>
    </xf>
    <xf numFmtId="3" fontId="40" fillId="0" borderId="6" xfId="1" applyNumberFormat="1" applyFont="1" applyFill="1" applyBorder="1" applyAlignment="1">
      <alignment horizontal="center"/>
    </xf>
    <xf numFmtId="4" fontId="13" fillId="0" borderId="6" xfId="0" applyNumberFormat="1" applyFont="1" applyBorder="1" applyAlignment="1">
      <alignment horizontal="center"/>
    </xf>
    <xf numFmtId="9" fontId="13" fillId="0" borderId="6" xfId="0" applyNumberFormat="1" applyFont="1" applyBorder="1" applyAlignment="1">
      <alignment horizontal="center"/>
    </xf>
    <xf numFmtId="168" fontId="13" fillId="41"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9" fontId="13" fillId="10" borderId="0" xfId="2" applyNumberFormat="1" applyFont="1" applyFill="1" applyBorder="1" applyAlignment="1">
      <alignment horizontal="left" wrapText="1"/>
    </xf>
    <xf numFmtId="0" fontId="52" fillId="0" borderId="0" xfId="94"/>
    <xf numFmtId="0" fontId="52" fillId="0" borderId="12" xfId="94" applyBorder="1" applyAlignment="1">
      <alignment horizontal="center"/>
    </xf>
    <xf numFmtId="9" fontId="0" fillId="0" borderId="0" xfId="95" applyFont="1"/>
    <xf numFmtId="3" fontId="52" fillId="0" borderId="0" xfId="94" applyNumberFormat="1"/>
    <xf numFmtId="0" fontId="52" fillId="0" borderId="0" xfId="94" applyAlignment="1">
      <alignment horizontal="right" wrapText="1"/>
    </xf>
    <xf numFmtId="0" fontId="54" fillId="0" borderId="0" xfId="0" applyFont="1"/>
    <xf numFmtId="0" fontId="0" fillId="0" borderId="0" xfId="0" pivotButton="1"/>
    <xf numFmtId="0" fontId="0" fillId="0" borderId="0" xfId="0" applyNumberFormat="1"/>
    <xf numFmtId="0" fontId="39" fillId="8" borderId="0" xfId="0" applyFont="1" applyFill="1" applyBorder="1" applyAlignment="1">
      <alignment vertical="center"/>
    </xf>
    <xf numFmtId="3" fontId="51" fillId="0" borderId="13" xfId="0" applyNumberFormat="1" applyFont="1" applyBorder="1"/>
    <xf numFmtId="9" fontId="51" fillId="0" borderId="13" xfId="0" applyNumberFormat="1" applyFont="1" applyBorder="1"/>
    <xf numFmtId="165" fontId="51" fillId="0" borderId="13" xfId="0" applyNumberFormat="1" applyFont="1" applyBorder="1"/>
    <xf numFmtId="0" fontId="51" fillId="0" borderId="0" xfId="0" applyFont="1" applyBorder="1" applyAlignment="1">
      <alignment horizontal="right"/>
    </xf>
    <xf numFmtId="3" fontId="51" fillId="0" borderId="13" xfId="0" applyNumberFormat="1" applyFont="1" applyBorder="1" applyAlignment="1">
      <alignment horizontal="right"/>
    </xf>
    <xf numFmtId="3" fontId="50" fillId="0" borderId="6" xfId="0" applyNumberFormat="1" applyFont="1" applyBorder="1" applyAlignment="1">
      <alignment horizontal="right" wrapText="1"/>
    </xf>
    <xf numFmtId="9" fontId="50" fillId="0" borderId="6" xfId="0" applyNumberFormat="1" applyFont="1" applyBorder="1" applyAlignment="1">
      <alignment horizontal="right" wrapText="1"/>
    </xf>
    <xf numFmtId="0" fontId="50" fillId="0" borderId="6" xfId="0" applyFont="1" applyBorder="1" applyAlignment="1">
      <alignment wrapText="1"/>
    </xf>
    <xf numFmtId="165" fontId="50" fillId="0" borderId="6" xfId="0" applyNumberFormat="1" applyFont="1" applyBorder="1" applyAlignment="1">
      <alignment horizontal="right" wrapText="1"/>
    </xf>
    <xf numFmtId="166" fontId="51" fillId="0" borderId="13" xfId="0" applyNumberFormat="1" applyFont="1" applyBorder="1"/>
    <xf numFmtId="0" fontId="52" fillId="0" borderId="0" xfId="94" applyFill="1" applyBorder="1" applyAlignment="1">
      <alignment horizontal="center"/>
    </xf>
    <xf numFmtId="164" fontId="52" fillId="0" borderId="0" xfId="94" applyNumberFormat="1"/>
    <xf numFmtId="10" fontId="49" fillId="6" borderId="6" xfId="0" applyNumberFormat="1" applyFont="1" applyFill="1" applyBorder="1" applyAlignment="1">
      <alignment horizontal="center" wrapText="1"/>
    </xf>
    <xf numFmtId="3" fontId="55" fillId="0" borderId="6" xfId="0" applyNumberFormat="1" applyFont="1" applyBorder="1"/>
    <xf numFmtId="10" fontId="55" fillId="0" borderId="6" xfId="0" applyNumberFormat="1" applyFont="1" applyBorder="1"/>
    <xf numFmtId="165" fontId="55" fillId="0" borderId="6" xfId="0" applyNumberFormat="1" applyFont="1" applyBorder="1"/>
    <xf numFmtId="0" fontId="55" fillId="0" borderId="6" xfId="0" applyFont="1" applyBorder="1"/>
    <xf numFmtId="3" fontId="5" fillId="0" borderId="6" xfId="0" applyNumberFormat="1" applyFont="1" applyFill="1" applyBorder="1" applyAlignment="1">
      <alignment horizontal="center"/>
    </xf>
    <xf numFmtId="0" fontId="17" fillId="8" borderId="0" xfId="0" applyFont="1" applyFill="1" applyBorder="1" applyAlignment="1">
      <alignment horizontal="right" vertical="center"/>
    </xf>
    <xf numFmtId="0" fontId="0" fillId="0" borderId="0" xfId="0" applyBorder="1" applyAlignment="1">
      <alignment wrapText="1"/>
    </xf>
    <xf numFmtId="0" fontId="39" fillId="0" borderId="0" xfId="0" applyFont="1" applyFill="1" applyBorder="1" applyAlignment="1"/>
    <xf numFmtId="0" fontId="58" fillId="0" borderId="0" xfId="0" applyFont="1" applyAlignment="1">
      <alignment wrapText="1"/>
    </xf>
    <xf numFmtId="0" fontId="7" fillId="0" borderId="0" xfId="0" applyFont="1" applyFill="1" applyBorder="1" applyAlignment="1"/>
    <xf numFmtId="0" fontId="7" fillId="0" borderId="0" xfId="0" applyFont="1" applyFill="1" applyBorder="1" applyAlignment="1">
      <alignment vertical="center"/>
    </xf>
    <xf numFmtId="0" fontId="0" fillId="0" borderId="0" xfId="0" applyFill="1" applyBorder="1" applyAlignment="1">
      <alignment horizontal="center"/>
    </xf>
    <xf numFmtId="0" fontId="18" fillId="0" borderId="0" xfId="0" applyFont="1" applyBorder="1" applyAlignment="1">
      <alignment horizontal="center"/>
    </xf>
    <xf numFmtId="3" fontId="57" fillId="0" borderId="0" xfId="0" applyNumberFormat="1" applyFont="1" applyFill="1" applyBorder="1" applyAlignment="1">
      <alignment wrapText="1"/>
    </xf>
    <xf numFmtId="3" fontId="8" fillId="44" borderId="0" xfId="0" applyNumberFormat="1" applyFont="1" applyFill="1" applyBorder="1" applyAlignment="1">
      <alignment wrapText="1"/>
    </xf>
    <xf numFmtId="3" fontId="8" fillId="0" borderId="0" xfId="0" applyNumberFormat="1" applyFont="1" applyFill="1" applyBorder="1" applyAlignment="1">
      <alignment wrapText="1"/>
    </xf>
    <xf numFmtId="165" fontId="8" fillId="44" borderId="0" xfId="0" applyNumberFormat="1" applyFont="1" applyFill="1" applyBorder="1" applyAlignment="1">
      <alignment wrapText="1"/>
    </xf>
    <xf numFmtId="0" fontId="6" fillId="8" borderId="0" xfId="0" applyFont="1" applyFill="1" applyBorder="1" applyAlignment="1">
      <alignment horizontal="center" wrapText="1"/>
    </xf>
    <xf numFmtId="0" fontId="11" fillId="0" borderId="0" xfId="2"/>
    <xf numFmtId="0" fontId="11" fillId="0" borderId="0" xfId="2" applyAlignment="1">
      <alignment horizontal="left"/>
    </xf>
    <xf numFmtId="0" fontId="18" fillId="0" borderId="0" xfId="0" applyFont="1" applyBorder="1" applyAlignment="1">
      <alignment horizontal="center"/>
    </xf>
    <xf numFmtId="3" fontId="13" fillId="0" borderId="6" xfId="1" applyNumberFormat="1" applyFont="1" applyFill="1" applyBorder="1" applyAlignment="1">
      <alignment horizontal="center"/>
    </xf>
    <xf numFmtId="0" fontId="6" fillId="0" borderId="6" xfId="4" applyFont="1" applyFill="1" applyBorder="1" applyAlignment="1">
      <alignment wrapText="1"/>
    </xf>
    <xf numFmtId="0" fontId="6" fillId="0" borderId="6" xfId="0" applyFont="1" applyFill="1" applyBorder="1" applyAlignment="1">
      <alignment wrapText="1"/>
    </xf>
    <xf numFmtId="3" fontId="40" fillId="0" borderId="6" xfId="0" applyNumberFormat="1" applyFont="1" applyFill="1" applyBorder="1" applyAlignment="1">
      <alignment horizontal="center" wrapText="1"/>
    </xf>
    <xf numFmtId="3" fontId="6" fillId="0" borderId="6" xfId="4" applyNumberFormat="1" applyFont="1" applyFill="1" applyBorder="1"/>
    <xf numFmtId="165" fontId="50" fillId="0" borderId="7" xfId="0" applyNumberFormat="1" applyFont="1" applyBorder="1" applyAlignment="1">
      <alignment horizontal="right" wrapText="1"/>
    </xf>
    <xf numFmtId="166" fontId="44" fillId="0" borderId="0" xfId="0" applyNumberFormat="1" applyFont="1" applyFill="1" applyBorder="1" applyAlignment="1">
      <alignment wrapText="1"/>
    </xf>
    <xf numFmtId="166" fontId="0" fillId="0" borderId="0" xfId="0" applyNumberFormat="1"/>
    <xf numFmtId="0" fontId="7" fillId="0" borderId="0" xfId="0" applyFont="1" applyBorder="1" applyAlignment="1">
      <alignment horizontal="center"/>
    </xf>
    <xf numFmtId="0" fontId="7" fillId="0" borderId="0" xfId="0" applyFont="1" applyFill="1" applyBorder="1" applyAlignment="1">
      <alignment horizontal="center"/>
    </xf>
    <xf numFmtId="0" fontId="59" fillId="0" borderId="0" xfId="0" applyFont="1"/>
    <xf numFmtId="0" fontId="59" fillId="0" borderId="0" xfId="0" applyFont="1" applyAlignment="1">
      <alignment wrapText="1"/>
    </xf>
    <xf numFmtId="0" fontId="59" fillId="0" borderId="0" xfId="0" applyFont="1" applyAlignment="1"/>
    <xf numFmtId="10" fontId="61" fillId="6" borderId="9" xfId="0" applyNumberFormat="1" applyFont="1" applyFill="1" applyBorder="1" applyAlignment="1">
      <alignment wrapText="1"/>
    </xf>
    <xf numFmtId="0" fontId="59" fillId="0" borderId="0" xfId="0" applyFont="1" applyFill="1" applyBorder="1"/>
    <xf numFmtId="3" fontId="60" fillId="0" borderId="6" xfId="0" applyNumberFormat="1" applyFont="1" applyFill="1" applyBorder="1" applyAlignment="1">
      <alignment horizontal="center" wrapText="1"/>
    </xf>
    <xf numFmtId="0" fontId="59" fillId="0" borderId="0" xfId="0" applyFont="1" applyFill="1" applyBorder="1" applyAlignment="1">
      <alignment wrapText="1"/>
    </xf>
    <xf numFmtId="10" fontId="62" fillId="0" borderId="6" xfId="0" applyNumberFormat="1" applyFont="1" applyFill="1" applyBorder="1"/>
    <xf numFmtId="3" fontId="62" fillId="0" borderId="6" xfId="0" applyNumberFormat="1" applyFont="1" applyFill="1" applyBorder="1" applyAlignment="1">
      <alignment horizontal="center"/>
    </xf>
    <xf numFmtId="9" fontId="62" fillId="0" borderId="6" xfId="0" applyNumberFormat="1" applyFont="1" applyFill="1" applyBorder="1" applyAlignment="1">
      <alignment horizontal="center"/>
    </xf>
    <xf numFmtId="0" fontId="62" fillId="0" borderId="6" xfId="0" applyFont="1" applyFill="1" applyBorder="1"/>
    <xf numFmtId="10" fontId="61" fillId="6" borderId="6" xfId="0" applyNumberFormat="1" applyFont="1" applyFill="1" applyBorder="1" applyAlignment="1">
      <alignment wrapText="1"/>
    </xf>
    <xf numFmtId="3" fontId="59" fillId="0" borderId="0" xfId="0" applyNumberFormat="1" applyFont="1" applyFill="1" applyBorder="1" applyAlignment="1">
      <alignment wrapText="1"/>
    </xf>
    <xf numFmtId="1" fontId="62" fillId="0" borderId="6" xfId="0" applyNumberFormat="1" applyFont="1" applyFill="1" applyBorder="1" applyAlignment="1">
      <alignment horizontal="center"/>
    </xf>
    <xf numFmtId="0" fontId="62" fillId="5" borderId="6" xfId="0" applyFont="1" applyFill="1" applyBorder="1" applyAlignment="1">
      <alignment horizontal="left" wrapText="1"/>
    </xf>
    <xf numFmtId="3" fontId="62" fillId="5" borderId="6" xfId="0" applyNumberFormat="1" applyFont="1" applyFill="1" applyBorder="1" applyAlignment="1">
      <alignment horizontal="center" wrapText="1"/>
    </xf>
    <xf numFmtId="10" fontId="61" fillId="0" borderId="0" xfId="0" applyNumberFormat="1" applyFont="1" applyFill="1" applyBorder="1" applyAlignment="1"/>
    <xf numFmtId="0" fontId="62" fillId="0" borderId="6" xfId="0" applyFont="1" applyFill="1" applyBorder="1" applyAlignment="1">
      <alignment wrapText="1"/>
    </xf>
    <xf numFmtId="3" fontId="62" fillId="0" borderId="6" xfId="0" applyNumberFormat="1" applyFont="1" applyFill="1" applyBorder="1" applyAlignment="1">
      <alignment horizontal="center" wrapText="1"/>
    </xf>
    <xf numFmtId="9" fontId="62" fillId="0" borderId="6" xfId="0" applyNumberFormat="1" applyFont="1" applyFill="1" applyBorder="1" applyAlignment="1">
      <alignment horizontal="center" wrapText="1"/>
    </xf>
    <xf numFmtId="10" fontId="62" fillId="0" borderId="6" xfId="0" applyNumberFormat="1" applyFont="1" applyFill="1" applyBorder="1" applyAlignment="1"/>
    <xf numFmtId="10" fontId="62" fillId="0" borderId="6" xfId="0" applyNumberFormat="1" applyFont="1" applyFill="1" applyBorder="1" applyAlignment="1">
      <alignment wrapText="1"/>
    </xf>
    <xf numFmtId="3" fontId="59" fillId="0" borderId="0" xfId="0" applyNumberFormat="1" applyFont="1" applyFill="1" applyBorder="1"/>
    <xf numFmtId="165" fontId="59" fillId="0" borderId="0" xfId="0" applyNumberFormat="1" applyFont="1" applyFill="1" applyBorder="1"/>
    <xf numFmtId="10" fontId="61" fillId="6" borderId="6" xfId="0" applyNumberFormat="1" applyFont="1" applyFill="1" applyBorder="1" applyAlignment="1"/>
    <xf numFmtId="0" fontId="62" fillId="2" borderId="6" xfId="0" applyFont="1" applyFill="1" applyBorder="1" applyAlignment="1">
      <alignment horizontal="center" wrapText="1"/>
    </xf>
    <xf numFmtId="0" fontId="63" fillId="2" borderId="6" xfId="0" applyFont="1" applyFill="1" applyBorder="1" applyAlignment="1">
      <alignment horizontal="center" wrapText="1"/>
    </xf>
    <xf numFmtId="10" fontId="61" fillId="6" borderId="6" xfId="0" applyNumberFormat="1" applyFont="1" applyFill="1" applyBorder="1" applyAlignment="1">
      <alignment horizontal="center" wrapText="1"/>
    </xf>
    <xf numFmtId="3" fontId="60" fillId="0" borderId="6" xfId="0" applyNumberFormat="1" applyFont="1" applyFill="1" applyBorder="1" applyAlignment="1">
      <alignment wrapText="1"/>
    </xf>
    <xf numFmtId="3" fontId="59" fillId="0" borderId="0" xfId="0" applyNumberFormat="1" applyFont="1"/>
    <xf numFmtId="0" fontId="62" fillId="0" borderId="6" xfId="0" applyFont="1" applyFill="1" applyBorder="1" applyAlignment="1">
      <alignment horizontal="left" wrapText="1"/>
    </xf>
    <xf numFmtId="0" fontId="62" fillId="0" borderId="6" xfId="0" applyFont="1" applyFill="1" applyBorder="1" applyAlignment="1"/>
    <xf numFmtId="3" fontId="60" fillId="0" borderId="6" xfId="0" applyNumberFormat="1" applyFont="1" applyFill="1" applyBorder="1"/>
    <xf numFmtId="3" fontId="60" fillId="0" borderId="6" xfId="0" applyNumberFormat="1" applyFont="1" applyFill="1" applyBorder="1" applyAlignment="1">
      <alignment horizontal="center"/>
    </xf>
    <xf numFmtId="3" fontId="60" fillId="0" borderId="6" xfId="1" applyNumberFormat="1" applyFont="1" applyFill="1" applyBorder="1" applyAlignment="1">
      <alignment horizontal="center"/>
    </xf>
    <xf numFmtId="3" fontId="60" fillId="0" borderId="6" xfId="4" applyNumberFormat="1" applyFont="1" applyFill="1" applyBorder="1" applyAlignment="1">
      <alignment wrapText="1"/>
    </xf>
    <xf numFmtId="9" fontId="62" fillId="0" borderId="6" xfId="1" applyFont="1" applyFill="1" applyBorder="1" applyAlignment="1">
      <alignment horizontal="center"/>
    </xf>
    <xf numFmtId="166" fontId="62" fillId="0" borderId="6" xfId="1" applyNumberFormat="1" applyFont="1" applyFill="1" applyBorder="1" applyAlignment="1">
      <alignment horizontal="center"/>
    </xf>
    <xf numFmtId="3" fontId="60" fillId="0" borderId="6" xfId="4" applyNumberFormat="1" applyFont="1" applyFill="1" applyBorder="1"/>
    <xf numFmtId="0" fontId="60" fillId="0" borderId="0" xfId="0" applyFont="1" applyFill="1" applyBorder="1"/>
    <xf numFmtId="6" fontId="59" fillId="0" borderId="0" xfId="0" applyNumberFormat="1" applyFont="1"/>
    <xf numFmtId="8" fontId="59" fillId="0" borderId="0" xfId="0" applyNumberFormat="1" applyFont="1"/>
    <xf numFmtId="0" fontId="62" fillId="0" borderId="6" xfId="0" applyFont="1" applyBorder="1"/>
    <xf numFmtId="4" fontId="62" fillId="0" borderId="6" xfId="0" applyNumberFormat="1" applyFont="1" applyBorder="1" applyAlignment="1">
      <alignment horizontal="center"/>
    </xf>
    <xf numFmtId="9" fontId="62" fillId="0" borderId="6" xfId="0" applyNumberFormat="1" applyFont="1" applyBorder="1" applyAlignment="1">
      <alignment horizontal="center"/>
    </xf>
    <xf numFmtId="0" fontId="62" fillId="41" borderId="6" xfId="0" applyFont="1" applyFill="1" applyBorder="1" applyAlignment="1">
      <alignment vertical="center" wrapText="1"/>
    </xf>
    <xf numFmtId="168" fontId="62" fillId="41" borderId="6" xfId="0" applyNumberFormat="1" applyFont="1" applyFill="1" applyBorder="1" applyAlignment="1">
      <alignment horizontal="center" vertical="center" wrapText="1"/>
    </xf>
    <xf numFmtId="9" fontId="63" fillId="0" borderId="6" xfId="0" applyNumberFormat="1" applyFont="1" applyFill="1" applyBorder="1" applyAlignment="1">
      <alignment vertical="center" wrapText="1"/>
    </xf>
    <xf numFmtId="10" fontId="62" fillId="0" borderId="0" xfId="0" applyNumberFormat="1" applyFont="1" applyFill="1" applyBorder="1" applyAlignment="1"/>
    <xf numFmtId="10" fontId="49" fillId="0" borderId="9" xfId="0" applyNumberFormat="1" applyFont="1" applyFill="1" applyBorder="1" applyAlignment="1">
      <alignment wrapText="1"/>
    </xf>
    <xf numFmtId="10" fontId="13" fillId="0" borderId="0" xfId="0" applyNumberFormat="1" applyFont="1" applyFill="1" applyBorder="1" applyAlignment="1"/>
    <xf numFmtId="3" fontId="62" fillId="0" borderId="6" xfId="0" applyNumberFormat="1" applyFont="1" applyBorder="1" applyAlignment="1">
      <alignment horizontal="center"/>
    </xf>
    <xf numFmtId="10" fontId="49" fillId="0" borderId="31" xfId="0" applyNumberFormat="1" applyFont="1" applyFill="1" applyBorder="1" applyAlignment="1">
      <alignment wrapText="1"/>
    </xf>
    <xf numFmtId="10" fontId="49" fillId="0" borderId="30" xfId="0" applyNumberFormat="1" applyFont="1" applyFill="1" applyBorder="1" applyAlignment="1">
      <alignment wrapText="1"/>
    </xf>
    <xf numFmtId="10" fontId="49" fillId="0" borderId="32" xfId="0" applyNumberFormat="1" applyFont="1" applyFill="1" applyBorder="1" applyAlignment="1">
      <alignment wrapText="1"/>
    </xf>
    <xf numFmtId="0" fontId="39" fillId="0" borderId="0" xfId="0" applyFont="1"/>
    <xf numFmtId="0" fontId="3" fillId="2" borderId="0" xfId="0" applyFont="1" applyFill="1"/>
    <xf numFmtId="3" fontId="62" fillId="0" borderId="0" xfId="0" applyNumberFormat="1" applyFont="1" applyFill="1" applyBorder="1" applyAlignment="1">
      <alignment horizontal="center"/>
    </xf>
    <xf numFmtId="9" fontId="62" fillId="0" borderId="0" xfId="0" applyNumberFormat="1" applyFont="1" applyFill="1" applyBorder="1" applyAlignment="1">
      <alignment horizontal="center"/>
    </xf>
    <xf numFmtId="0" fontId="3" fillId="2" borderId="0" xfId="0" applyFont="1" applyFill="1" applyAlignment="1">
      <alignment wrapText="1"/>
    </xf>
    <xf numFmtId="0" fontId="62" fillId="4" borderId="6" xfId="0" applyFont="1" applyFill="1" applyBorder="1" applyAlignment="1">
      <alignment wrapText="1"/>
    </xf>
    <xf numFmtId="9" fontId="62" fillId="0" borderId="6" xfId="1" applyFont="1" applyFill="1" applyBorder="1" applyAlignment="1">
      <alignment horizontal="center" wrapText="1"/>
    </xf>
    <xf numFmtId="164" fontId="62" fillId="0" borderId="6" xfId="0" applyNumberFormat="1" applyFont="1" applyFill="1" applyBorder="1" applyAlignment="1">
      <alignment horizontal="center" wrapText="1"/>
    </xf>
    <xf numFmtId="0" fontId="62" fillId="4" borderId="6" xfId="0" applyFont="1" applyFill="1" applyBorder="1"/>
    <xf numFmtId="5" fontId="62" fillId="0" borderId="6" xfId="93" applyNumberFormat="1" applyFont="1" applyFill="1" applyBorder="1" applyAlignment="1">
      <alignment horizontal="center" wrapText="1"/>
    </xf>
    <xf numFmtId="37" fontId="62" fillId="0" borderId="6" xfId="93" applyNumberFormat="1" applyFont="1" applyFill="1" applyBorder="1" applyAlignment="1">
      <alignment horizontal="center" wrapText="1"/>
    </xf>
    <xf numFmtId="165" fontId="62" fillId="0" borderId="6" xfId="0" applyNumberFormat="1" applyFont="1" applyFill="1" applyBorder="1" applyAlignment="1">
      <alignment horizontal="center" wrapText="1"/>
    </xf>
    <xf numFmtId="3" fontId="62" fillId="0" borderId="6" xfId="0" applyNumberFormat="1" applyFont="1" applyFill="1" applyBorder="1" applyAlignment="1">
      <alignment wrapText="1"/>
    </xf>
    <xf numFmtId="164" fontId="62" fillId="0" borderId="6" xfId="0" applyNumberFormat="1" applyFont="1" applyFill="1" applyBorder="1" applyAlignment="1">
      <alignment wrapText="1"/>
    </xf>
    <xf numFmtId="0" fontId="3" fillId="2" borderId="0" xfId="0" applyFont="1" applyFill="1" applyBorder="1"/>
    <xf numFmtId="3" fontId="62" fillId="0" borderId="6" xfId="1" applyNumberFormat="1" applyFont="1" applyFill="1" applyBorder="1" applyAlignment="1">
      <alignment horizontal="center"/>
    </xf>
    <xf numFmtId="9" fontId="63" fillId="0" borderId="6" xfId="0" applyNumberFormat="1" applyFont="1" applyFill="1" applyBorder="1" applyAlignment="1">
      <alignment wrapText="1"/>
    </xf>
    <xf numFmtId="9" fontId="63" fillId="0" borderId="6" xfId="0" applyNumberFormat="1" applyFont="1" applyBorder="1" applyAlignment="1">
      <alignment wrapText="1"/>
    </xf>
    <xf numFmtId="0" fontId="62" fillId="0" borderId="6" xfId="0" applyFont="1" applyBorder="1" applyAlignment="1">
      <alignment wrapText="1"/>
    </xf>
    <xf numFmtId="3" fontId="63" fillId="0" borderId="29" xfId="0" applyNumberFormat="1" applyFont="1" applyBorder="1" applyAlignment="1">
      <alignment horizontal="right" wrapText="1"/>
    </xf>
    <xf numFmtId="9" fontId="63" fillId="0" borderId="3" xfId="0" applyNumberFormat="1" applyFont="1" applyBorder="1" applyAlignment="1">
      <alignment wrapText="1"/>
    </xf>
    <xf numFmtId="0" fontId="62" fillId="0" borderId="6" xfId="0" applyFont="1" applyFill="1" applyBorder="1" applyAlignment="1">
      <alignment vertical="center" wrapText="1"/>
    </xf>
    <xf numFmtId="9" fontId="62" fillId="0" borderId="1" xfId="1" applyFont="1" applyBorder="1" applyAlignment="1">
      <alignment wrapText="1"/>
    </xf>
    <xf numFmtId="9" fontId="62" fillId="0" borderId="0" xfId="1" applyFont="1" applyBorder="1" applyAlignment="1">
      <alignment wrapText="1"/>
    </xf>
    <xf numFmtId="0" fontId="63" fillId="0" borderId="3" xfId="0" applyFont="1" applyBorder="1" applyAlignment="1">
      <alignment wrapText="1"/>
    </xf>
    <xf numFmtId="0" fontId="8" fillId="0" borderId="0" xfId="0" applyFont="1" applyAlignment="1">
      <alignment horizontal="center"/>
    </xf>
    <xf numFmtId="0" fontId="8" fillId="4" borderId="0" xfId="0" applyFont="1" applyFill="1"/>
    <xf numFmtId="0" fontId="8" fillId="0" borderId="0" xfId="0" applyFont="1" applyAlignment="1">
      <alignment wrapText="1"/>
    </xf>
    <xf numFmtId="0" fontId="8" fillId="0" borderId="0" xfId="0" applyFont="1"/>
    <xf numFmtId="0" fontId="3" fillId="0" borderId="0" xfId="0" applyFont="1"/>
    <xf numFmtId="0" fontId="65" fillId="43" borderId="0" xfId="0" applyFont="1" applyFill="1"/>
    <xf numFmtId="0" fontId="13" fillId="4" borderId="0" xfId="0" applyFont="1" applyFill="1"/>
    <xf numFmtId="3" fontId="13" fillId="0" borderId="0" xfId="0" applyNumberFormat="1" applyFont="1" applyFill="1" applyBorder="1" applyAlignment="1">
      <alignment horizontal="center"/>
    </xf>
    <xf numFmtId="9" fontId="13" fillId="0" borderId="0" xfId="0" applyNumberFormat="1" applyFont="1" applyFill="1" applyBorder="1" applyAlignment="1">
      <alignment horizontal="center"/>
    </xf>
    <xf numFmtId="0" fontId="5" fillId="2" borderId="0" xfId="0" applyFont="1" applyFill="1" applyBorder="1"/>
    <xf numFmtId="0" fontId="13" fillId="4" borderId="6" xfId="0" applyFont="1" applyFill="1" applyBorder="1"/>
    <xf numFmtId="164" fontId="13" fillId="0" borderId="6" xfId="1" applyNumberFormat="1" applyFont="1" applyFill="1" applyBorder="1" applyAlignment="1">
      <alignment horizontal="center" wrapText="1"/>
    </xf>
    <xf numFmtId="164" fontId="13" fillId="0" borderId="6" xfId="0" applyNumberFormat="1" applyFont="1" applyFill="1" applyBorder="1" applyAlignment="1">
      <alignment horizontal="center" wrapText="1"/>
    </xf>
    <xf numFmtId="5" fontId="13" fillId="0" borderId="6" xfId="93" applyNumberFormat="1" applyFont="1" applyFill="1" applyBorder="1" applyAlignment="1">
      <alignment horizontal="center" wrapText="1"/>
    </xf>
    <xf numFmtId="37" fontId="13" fillId="0" borderId="6" xfId="93" applyNumberFormat="1" applyFont="1" applyFill="1" applyBorder="1" applyAlignment="1">
      <alignment horizontal="center" wrapText="1"/>
    </xf>
    <xf numFmtId="165" fontId="13" fillId="0" borderId="6" xfId="93" applyNumberFormat="1" applyFont="1" applyFill="1" applyBorder="1" applyAlignment="1">
      <alignment horizontal="center" wrapText="1"/>
    </xf>
    <xf numFmtId="165" fontId="13" fillId="0" borderId="6" xfId="0" applyNumberFormat="1" applyFont="1" applyFill="1" applyBorder="1" applyAlignment="1">
      <alignment horizontal="center" wrapText="1"/>
    </xf>
    <xf numFmtId="164" fontId="13" fillId="0" borderId="6" xfId="0" applyNumberFormat="1" applyFont="1" applyFill="1" applyBorder="1" applyAlignment="1">
      <alignment wrapText="1"/>
    </xf>
    <xf numFmtId="0" fontId="14" fillId="0" borderId="6" xfId="0" applyFont="1" applyFill="1" applyBorder="1"/>
    <xf numFmtId="9" fontId="3" fillId="0" borderId="6" xfId="0" applyNumberFormat="1" applyFont="1" applyFill="1" applyBorder="1" applyAlignment="1">
      <alignment wrapText="1"/>
    </xf>
    <xf numFmtId="9" fontId="5" fillId="0" borderId="6" xfId="0" applyNumberFormat="1" applyFont="1" applyFill="1" applyBorder="1" applyAlignment="1">
      <alignment wrapText="1"/>
    </xf>
    <xf numFmtId="9" fontId="3" fillId="0" borderId="6" xfId="0" applyNumberFormat="1" applyFont="1" applyBorder="1" applyAlignment="1">
      <alignment wrapText="1"/>
    </xf>
    <xf numFmtId="3" fontId="5" fillId="0" borderId="6" xfId="0" applyNumberFormat="1" applyFont="1" applyFill="1" applyBorder="1" applyAlignment="1">
      <alignment wrapText="1"/>
    </xf>
    <xf numFmtId="3" fontId="3" fillId="0" borderId="6" xfId="0" applyNumberFormat="1" applyFont="1" applyBorder="1" applyAlignment="1">
      <alignment wrapText="1"/>
    </xf>
    <xf numFmtId="166" fontId="13" fillId="0" borderId="6" xfId="0" applyNumberFormat="1" applyFont="1" applyFill="1" applyBorder="1" applyAlignment="1">
      <alignment horizontal="center"/>
    </xf>
    <xf numFmtId="0" fontId="13" fillId="0" borderId="6" xfId="0" applyFont="1" applyBorder="1" applyAlignment="1">
      <alignment wrapText="1"/>
    </xf>
    <xf numFmtId="9" fontId="5" fillId="0" borderId="6" xfId="0" applyNumberFormat="1" applyFont="1" applyBorder="1" applyAlignment="1">
      <alignment wrapText="1"/>
    </xf>
    <xf numFmtId="9" fontId="5" fillId="0" borderId="29" xfId="0" applyNumberFormat="1" applyFont="1" applyBorder="1" applyAlignment="1">
      <alignment wrapText="1"/>
    </xf>
    <xf numFmtId="3" fontId="3" fillId="0" borderId="29" xfId="0" applyNumberFormat="1" applyFont="1" applyBorder="1" applyAlignment="1">
      <alignment horizontal="right" wrapText="1"/>
    </xf>
    <xf numFmtId="9" fontId="5" fillId="0" borderId="4" xfId="0" applyNumberFormat="1" applyFont="1" applyBorder="1" applyAlignment="1">
      <alignment wrapText="1"/>
    </xf>
    <xf numFmtId="3" fontId="3" fillId="0" borderId="2" xfId="0" applyNumberFormat="1" applyFont="1" applyBorder="1" applyAlignment="1">
      <alignment wrapText="1"/>
    </xf>
    <xf numFmtId="9" fontId="3" fillId="0" borderId="5" xfId="0" applyNumberFormat="1" applyFont="1" applyBorder="1" applyAlignment="1">
      <alignment wrapText="1"/>
    </xf>
    <xf numFmtId="0" fontId="13" fillId="0" borderId="6" xfId="0" applyFont="1" applyFill="1" applyBorder="1" applyAlignment="1">
      <alignment vertical="center" wrapText="1"/>
    </xf>
    <xf numFmtId="9" fontId="13" fillId="0" borderId="1" xfId="1" applyFont="1" applyBorder="1" applyAlignment="1">
      <alignment wrapText="1"/>
    </xf>
    <xf numFmtId="9" fontId="13" fillId="0" borderId="0" xfId="1" applyFont="1" applyBorder="1" applyAlignment="1">
      <alignment wrapText="1"/>
    </xf>
    <xf numFmtId="0" fontId="3" fillId="0" borderId="3" xfId="0" applyFont="1" applyBorder="1" applyAlignment="1">
      <alignment wrapText="1"/>
    </xf>
    <xf numFmtId="3" fontId="13" fillId="0" borderId="6" xfId="0" applyNumberFormat="1" applyFont="1" applyBorder="1" applyAlignment="1">
      <alignment horizontal="center"/>
    </xf>
    <xf numFmtId="0" fontId="5" fillId="0" borderId="6" xfId="0" applyFont="1" applyBorder="1" applyAlignment="1">
      <alignment wrapText="1"/>
    </xf>
    <xf numFmtId="0" fontId="5" fillId="0" borderId="7" xfId="0" applyFont="1" applyBorder="1" applyAlignment="1">
      <alignment wrapText="1"/>
    </xf>
    <xf numFmtId="0" fontId="5" fillId="0" borderId="1" xfId="0" applyFont="1" applyBorder="1" applyAlignment="1">
      <alignment wrapText="1"/>
    </xf>
    <xf numFmtId="0" fontId="3" fillId="0" borderId="0" xfId="0" applyFont="1" applyBorder="1" applyAlignment="1">
      <alignment wrapText="1"/>
    </xf>
    <xf numFmtId="3" fontId="59" fillId="0" borderId="6" xfId="0" applyNumberFormat="1" applyFont="1" applyBorder="1"/>
    <xf numFmtId="10" fontId="52" fillId="0" borderId="0" xfId="94" applyNumberFormat="1"/>
    <xf numFmtId="164" fontId="52" fillId="0" borderId="0" xfId="1" applyNumberFormat="1" applyFont="1"/>
    <xf numFmtId="3" fontId="63" fillId="0" borderId="0" xfId="0" applyNumberFormat="1" applyFont="1" applyBorder="1" applyAlignment="1">
      <alignment horizontal="right" wrapText="1"/>
    </xf>
    <xf numFmtId="9" fontId="63" fillId="0" borderId="22" xfId="0" applyNumberFormat="1" applyFont="1" applyBorder="1" applyAlignment="1">
      <alignment wrapText="1"/>
    </xf>
    <xf numFmtId="9" fontId="66" fillId="0" borderId="4" xfId="0" applyNumberFormat="1" applyFont="1" applyBorder="1" applyAlignment="1">
      <alignment wrapText="1"/>
    </xf>
    <xf numFmtId="3" fontId="63" fillId="0" borderId="2" xfId="0" applyNumberFormat="1" applyFont="1" applyBorder="1" applyAlignment="1">
      <alignment horizontal="right" wrapText="1"/>
    </xf>
    <xf numFmtId="166" fontId="3" fillId="0" borderId="5" xfId="0" applyNumberFormat="1" applyFont="1" applyBorder="1" applyAlignment="1">
      <alignment wrapText="1"/>
    </xf>
    <xf numFmtId="9" fontId="66" fillId="0" borderId="1" xfId="0" applyNumberFormat="1" applyFont="1" applyBorder="1" applyAlignment="1">
      <alignment wrapText="1"/>
    </xf>
    <xf numFmtId="166" fontId="3" fillId="0" borderId="3" xfId="0" applyNumberFormat="1" applyFont="1" applyBorder="1" applyAlignment="1">
      <alignment wrapText="1"/>
    </xf>
    <xf numFmtId="9" fontId="63" fillId="0" borderId="31" xfId="0" applyNumberFormat="1" applyFont="1" applyBorder="1" applyAlignment="1">
      <alignment wrapText="1"/>
    </xf>
    <xf numFmtId="3" fontId="63" fillId="0" borderId="30" xfId="0" applyNumberFormat="1" applyFont="1" applyBorder="1" applyAlignment="1">
      <alignment wrapText="1"/>
    </xf>
    <xf numFmtId="9" fontId="63" fillId="0" borderId="32" xfId="0" applyNumberFormat="1" applyFont="1" applyBorder="1" applyAlignment="1">
      <alignment wrapText="1"/>
    </xf>
    <xf numFmtId="0" fontId="11" fillId="0" borderId="0" xfId="2"/>
    <xf numFmtId="0" fontId="62" fillId="0" borderId="6" xfId="0" applyFont="1" applyBorder="1" applyAlignment="1">
      <alignment horizontal="right" wrapText="1"/>
    </xf>
    <xf numFmtId="10" fontId="49" fillId="6" borderId="7" xfId="0" applyNumberFormat="1" applyFont="1" applyFill="1" applyBorder="1" applyAlignment="1"/>
    <xf numFmtId="166" fontId="13" fillId="0" borderId="6" xfId="93" applyNumberFormat="1" applyFont="1" applyFill="1" applyBorder="1" applyAlignment="1">
      <alignment horizontal="center"/>
    </xf>
    <xf numFmtId="166" fontId="13" fillId="0" borderId="6" xfId="1" applyNumberFormat="1" applyFont="1" applyFill="1" applyBorder="1" applyAlignment="1">
      <alignment horizontal="center"/>
    </xf>
    <xf numFmtId="166" fontId="62" fillId="0" borderId="6" xfId="0" applyNumberFormat="1" applyFont="1" applyBorder="1" applyAlignment="1">
      <alignment horizontal="center"/>
    </xf>
    <xf numFmtId="166" fontId="13" fillId="0" borderId="6" xfId="0" applyNumberFormat="1" applyFont="1" applyBorder="1" applyAlignment="1">
      <alignment horizontal="center"/>
    </xf>
    <xf numFmtId="0" fontId="69" fillId="0" borderId="0" xfId="97"/>
    <xf numFmtId="165" fontId="11" fillId="0" borderId="0" xfId="97" applyNumberFormat="1" applyFont="1" applyAlignment="1">
      <alignment horizontal="right"/>
    </xf>
    <xf numFmtId="3" fontId="69" fillId="0" borderId="0" xfId="97" applyNumberFormat="1"/>
    <xf numFmtId="165" fontId="69" fillId="0" borderId="0" xfId="97" applyNumberFormat="1"/>
    <xf numFmtId="0" fontId="70" fillId="0" borderId="0" xfId="97" applyFont="1" applyAlignment="1">
      <alignment horizontal="left"/>
    </xf>
    <xf numFmtId="170" fontId="11" fillId="0" borderId="0" xfId="97" applyNumberFormat="1" applyFont="1" applyAlignment="1">
      <alignment horizontal="center"/>
    </xf>
    <xf numFmtId="0" fontId="11" fillId="0" borderId="0" xfId="97" applyFont="1" applyAlignment="1">
      <alignment horizontal="left"/>
    </xf>
    <xf numFmtId="165" fontId="11" fillId="0" borderId="0" xfId="97" applyNumberFormat="1" applyFont="1" applyBorder="1" applyAlignment="1">
      <alignment horizontal="right"/>
    </xf>
    <xf numFmtId="0" fontId="11" fillId="0" borderId="0" xfId="97" applyFont="1" applyBorder="1" applyAlignment="1">
      <alignment horizontal="left"/>
    </xf>
    <xf numFmtId="165" fontId="51" fillId="0" borderId="0" xfId="2" applyNumberFormat="1" applyFont="1" applyAlignment="1">
      <alignment horizontal="right"/>
    </xf>
    <xf numFmtId="3" fontId="51" fillId="0" borderId="0" xfId="2" applyNumberFormat="1" applyFont="1" applyAlignment="1">
      <alignment horizontal="right"/>
    </xf>
    <xf numFmtId="0" fontId="51" fillId="0" borderId="0" xfId="2" applyFont="1" applyBorder="1" applyAlignment="1">
      <alignment horizontal="left"/>
    </xf>
    <xf numFmtId="165" fontId="11" fillId="0" borderId="12" xfId="97" applyNumberFormat="1" applyFont="1" applyBorder="1" applyAlignment="1">
      <alignment horizontal="right"/>
    </xf>
    <xf numFmtId="0" fontId="11" fillId="0" borderId="12" xfId="97" applyFont="1" applyBorder="1" applyAlignment="1">
      <alignment horizontal="left"/>
    </xf>
    <xf numFmtId="165" fontId="11" fillId="0" borderId="0" xfId="97" applyNumberFormat="1" applyFont="1"/>
    <xf numFmtId="3" fontId="11" fillId="0" borderId="0" xfId="97" applyNumberFormat="1" applyFont="1"/>
    <xf numFmtId="0" fontId="11" fillId="0" borderId="0" xfId="97" applyFont="1" applyAlignment="1">
      <alignment horizontal="center"/>
    </xf>
    <xf numFmtId="165" fontId="11" fillId="0" borderId="0" xfId="2" applyNumberFormat="1"/>
    <xf numFmtId="166" fontId="11" fillId="0" borderId="0" xfId="2" applyNumberFormat="1"/>
    <xf numFmtId="166" fontId="69" fillId="0" borderId="0" xfId="97" applyNumberFormat="1"/>
    <xf numFmtId="10" fontId="51" fillId="0" borderId="13" xfId="1" applyNumberFormat="1" applyFont="1" applyBorder="1" applyAlignment="1">
      <alignment horizontal="right"/>
    </xf>
    <xf numFmtId="1" fontId="52" fillId="0" borderId="0" xfId="94" applyNumberFormat="1"/>
    <xf numFmtId="0" fontId="11" fillId="0" borderId="0" xfId="97" applyFont="1"/>
    <xf numFmtId="166" fontId="11" fillId="0" borderId="0" xfId="97" applyNumberFormat="1" applyFont="1"/>
    <xf numFmtId="2" fontId="11" fillId="0" borderId="0" xfId="97" applyNumberFormat="1" applyFont="1"/>
    <xf numFmtId="9" fontId="44" fillId="0" borderId="6" xfId="0" applyNumberFormat="1" applyFont="1" applyBorder="1" applyAlignment="1">
      <alignment horizontal="left" wrapText="1"/>
    </xf>
    <xf numFmtId="1" fontId="11" fillId="0" borderId="0" xfId="2" applyNumberFormat="1" applyFont="1" applyFill="1" applyAlignment="1">
      <alignment horizontal="left"/>
    </xf>
    <xf numFmtId="3" fontId="11" fillId="0" borderId="0" xfId="2" applyNumberFormat="1" applyFont="1" applyFill="1" applyAlignment="1">
      <alignment horizontal="right"/>
    </xf>
    <xf numFmtId="3" fontId="11" fillId="0" borderId="0" xfId="98" applyNumberFormat="1" applyFont="1" applyFill="1" applyAlignment="1">
      <alignment horizontal="right"/>
    </xf>
    <xf numFmtId="165" fontId="11" fillId="0" borderId="0" xfId="2" applyNumberFormat="1" applyFont="1" applyFill="1" applyAlignment="1">
      <alignment horizontal="right"/>
    </xf>
    <xf numFmtId="3" fontId="11" fillId="0" borderId="0" xfId="2" applyNumberFormat="1" applyFont="1" applyAlignment="1">
      <alignment horizontal="right"/>
    </xf>
    <xf numFmtId="165" fontId="71" fillId="0" borderId="0" xfId="2" applyNumberFormat="1" applyFont="1" applyFill="1" applyAlignment="1">
      <alignment horizontal="center"/>
    </xf>
    <xf numFmtId="165" fontId="74" fillId="0" borderId="0" xfId="2" applyNumberFormat="1" applyFont="1" applyFill="1" applyAlignment="1">
      <alignment horizontal="center"/>
    </xf>
    <xf numFmtId="165" fontId="75" fillId="0" borderId="0" xfId="2" applyNumberFormat="1" applyFont="1" applyFill="1" applyAlignment="1">
      <alignment horizontal="center"/>
    </xf>
    <xf numFmtId="165" fontId="76" fillId="0" borderId="0" xfId="2" applyNumberFormat="1" applyFont="1" applyFill="1" applyAlignment="1">
      <alignment horizontal="center"/>
    </xf>
    <xf numFmtId="165" fontId="11" fillId="0" borderId="12" xfId="2" applyNumberFormat="1" applyFont="1" applyFill="1" applyBorder="1" applyAlignment="1">
      <alignment horizontal="right"/>
    </xf>
    <xf numFmtId="3" fontId="11" fillId="0" borderId="12" xfId="2" applyNumberFormat="1" applyFont="1" applyFill="1" applyBorder="1" applyAlignment="1">
      <alignment horizontal="right"/>
    </xf>
    <xf numFmtId="3" fontId="11" fillId="0" borderId="12" xfId="2" applyNumberFormat="1" applyFont="1" applyBorder="1" applyAlignment="1">
      <alignment horizontal="right"/>
    </xf>
    <xf numFmtId="165" fontId="11" fillId="0" borderId="0" xfId="2" applyNumberFormat="1" applyFont="1" applyAlignment="1">
      <alignment horizontal="right"/>
    </xf>
    <xf numFmtId="166" fontId="11" fillId="0" borderId="0" xfId="93" applyNumberFormat="1" applyFont="1"/>
    <xf numFmtId="9" fontId="52" fillId="0" borderId="0" xfId="1" applyFont="1"/>
    <xf numFmtId="10" fontId="61" fillId="6" borderId="23" xfId="0" applyNumberFormat="1" applyFont="1" applyFill="1" applyBorder="1" applyAlignment="1">
      <alignment wrapText="1"/>
    </xf>
    <xf numFmtId="0" fontId="60" fillId="0" borderId="23" xfId="0" applyFont="1" applyFill="1" applyBorder="1"/>
    <xf numFmtId="0" fontId="60" fillId="0" borderId="23" xfId="4" applyFont="1" applyFill="1" applyBorder="1" applyAlignment="1">
      <alignment wrapText="1"/>
    </xf>
    <xf numFmtId="0" fontId="60" fillId="0" borderId="23" xfId="0" applyFont="1" applyFill="1" applyBorder="1" applyAlignment="1">
      <alignment wrapText="1"/>
    </xf>
    <xf numFmtId="0" fontId="39" fillId="0" borderId="2" xfId="0" applyFont="1" applyBorder="1"/>
    <xf numFmtId="0" fontId="63" fillId="4" borderId="2" xfId="0" applyFont="1" applyFill="1" applyBorder="1"/>
    <xf numFmtId="0" fontId="63" fillId="0" borderId="2" xfId="0" applyFont="1" applyBorder="1" applyAlignment="1">
      <alignment wrapText="1"/>
    </xf>
    <xf numFmtId="0" fontId="63" fillId="0" borderId="2" xfId="0" applyFont="1" applyBorder="1"/>
    <xf numFmtId="0" fontId="63" fillId="0" borderId="5" xfId="0" applyFont="1" applyBorder="1"/>
    <xf numFmtId="0" fontId="64" fillId="0" borderId="1" xfId="0" applyFont="1" applyBorder="1"/>
    <xf numFmtId="0" fontId="62" fillId="4" borderId="0" xfId="0" applyFont="1" applyFill="1" applyBorder="1"/>
    <xf numFmtId="0" fontId="3" fillId="2" borderId="1" xfId="0" applyFont="1" applyFill="1" applyBorder="1"/>
    <xf numFmtId="0" fontId="63" fillId="2" borderId="3" xfId="0" applyFont="1" applyFill="1" applyBorder="1"/>
    <xf numFmtId="0" fontId="3" fillId="2" borderId="1" xfId="0" applyFont="1" applyFill="1" applyBorder="1" applyAlignment="1">
      <alignment wrapText="1"/>
    </xf>
    <xf numFmtId="0" fontId="63" fillId="2" borderId="3" xfId="0" applyFont="1" applyFill="1" applyBorder="1" applyAlignment="1">
      <alignment wrapText="1"/>
    </xf>
    <xf numFmtId="10" fontId="61" fillId="6" borderId="34" xfId="0" applyNumberFormat="1" applyFont="1" applyFill="1" applyBorder="1" applyAlignment="1">
      <alignment wrapText="1"/>
    </xf>
    <xf numFmtId="0" fontId="61" fillId="0" borderId="2" xfId="0" applyFont="1" applyBorder="1" applyAlignment="1">
      <alignment wrapText="1"/>
    </xf>
    <xf numFmtId="0" fontId="39" fillId="8" borderId="0" xfId="0" applyFont="1" applyFill="1" applyBorder="1" applyAlignment="1">
      <alignment vertical="top"/>
    </xf>
    <xf numFmtId="0" fontId="39" fillId="8" borderId="0" xfId="0" applyFont="1" applyFill="1" applyBorder="1" applyAlignment="1">
      <alignment horizontal="right" vertical="top"/>
    </xf>
    <xf numFmtId="0" fontId="78" fillId="47" borderId="35" xfId="0" applyFont="1" applyFill="1" applyBorder="1"/>
    <xf numFmtId="1" fontId="8" fillId="0" borderId="33" xfId="0" applyNumberFormat="1" applyFont="1" applyBorder="1"/>
    <xf numFmtId="0" fontId="80" fillId="0" borderId="0" xfId="0" applyFont="1" applyAlignment="1">
      <alignment horizontal="center"/>
    </xf>
    <xf numFmtId="0" fontId="37" fillId="0" borderId="33" xfId="0" applyFont="1" applyBorder="1" applyAlignment="1">
      <alignment horizontal="center" wrapText="1"/>
    </xf>
    <xf numFmtId="0" fontId="81" fillId="0" borderId="0" xfId="0" applyFont="1" applyAlignment="1">
      <alignment horizontal="center" wrapText="1"/>
    </xf>
    <xf numFmtId="0" fontId="81" fillId="0" borderId="0" xfId="0" applyFont="1" applyAlignment="1">
      <alignment wrapText="1"/>
    </xf>
    <xf numFmtId="10" fontId="61" fillId="6" borderId="7" xfId="0" applyNumberFormat="1" applyFont="1" applyFill="1" applyBorder="1" applyAlignment="1"/>
    <xf numFmtId="10" fontId="61" fillId="6" borderId="23" xfId="0" applyNumberFormat="1" applyFont="1" applyFill="1" applyBorder="1" applyAlignment="1"/>
    <xf numFmtId="0" fontId="0" fillId="0" borderId="0" xfId="0" applyNumberFormat="1" applyAlignment="1">
      <alignment horizontal="left"/>
    </xf>
    <xf numFmtId="0" fontId="83" fillId="0" borderId="36" xfId="101" applyFont="1" applyFill="1" applyBorder="1" applyAlignment="1">
      <alignment wrapText="1"/>
    </xf>
    <xf numFmtId="0" fontId="83" fillId="0" borderId="36" xfId="101" applyFont="1" applyFill="1" applyBorder="1" applyAlignment="1">
      <alignment horizontal="right" wrapText="1"/>
    </xf>
    <xf numFmtId="0" fontId="83" fillId="0" borderId="36" xfId="101" applyNumberFormat="1" applyFont="1" applyFill="1" applyBorder="1" applyAlignment="1">
      <alignment wrapText="1"/>
    </xf>
    <xf numFmtId="166" fontId="65" fillId="0" borderId="29" xfId="0" applyNumberFormat="1" applyFont="1" applyBorder="1" applyAlignment="1">
      <alignment wrapText="1"/>
    </xf>
    <xf numFmtId="0" fontId="13" fillId="0" borderId="31" xfId="0" applyFont="1" applyFill="1" applyBorder="1" applyAlignment="1">
      <alignment wrapText="1"/>
    </xf>
    <xf numFmtId="0" fontId="13" fillId="0" borderId="30" xfId="4" applyFont="1" applyFill="1" applyBorder="1" applyAlignment="1">
      <alignment wrapText="1"/>
    </xf>
    <xf numFmtId="9" fontId="44" fillId="0" borderId="30" xfId="0" applyNumberFormat="1" applyFont="1" applyFill="1" applyBorder="1" applyAlignment="1">
      <alignment wrapText="1"/>
    </xf>
    <xf numFmtId="9" fontId="13" fillId="0" borderId="30" xfId="4" applyNumberFormat="1" applyFont="1" applyFill="1" applyBorder="1" applyAlignment="1">
      <alignment wrapText="1"/>
    </xf>
    <xf numFmtId="9" fontId="44" fillId="0" borderId="32" xfId="0" applyNumberFormat="1" applyFont="1" applyFill="1" applyBorder="1" applyAlignment="1">
      <alignment wrapText="1"/>
    </xf>
    <xf numFmtId="0" fontId="3" fillId="48" borderId="0" xfId="0" applyFont="1" applyFill="1" applyAlignment="1">
      <alignment horizontal="center"/>
    </xf>
    <xf numFmtId="0" fontId="3" fillId="48" borderId="0" xfId="0" applyFont="1" applyFill="1" applyAlignment="1">
      <alignment horizontal="center" wrapText="1"/>
    </xf>
    <xf numFmtId="0" fontId="83" fillId="0" borderId="37" xfId="102" applyFont="1" applyFill="1" applyBorder="1" applyAlignment="1">
      <alignment wrapText="1"/>
    </xf>
    <xf numFmtId="0" fontId="83" fillId="0" borderId="38" xfId="102" applyFont="1" applyFill="1" applyBorder="1" applyAlignment="1">
      <alignment wrapText="1"/>
    </xf>
    <xf numFmtId="0" fontId="83" fillId="0" borderId="39" xfId="102" applyFont="1" applyFill="1" applyBorder="1" applyAlignment="1">
      <alignment wrapText="1"/>
    </xf>
    <xf numFmtId="0" fontId="83" fillId="0" borderId="40" xfId="102" applyFont="1" applyFill="1" applyBorder="1" applyAlignment="1">
      <alignment wrapText="1"/>
    </xf>
    <xf numFmtId="0" fontId="3" fillId="48" borderId="39" xfId="0" applyFont="1" applyFill="1" applyBorder="1" applyAlignment="1">
      <alignment horizontal="center"/>
    </xf>
    <xf numFmtId="0" fontId="3" fillId="48" borderId="39" xfId="0" applyFont="1" applyFill="1" applyBorder="1"/>
    <xf numFmtId="0" fontId="83" fillId="0" borderId="41" xfId="102" applyFont="1" applyFill="1" applyBorder="1" applyAlignment="1">
      <alignment wrapText="1"/>
    </xf>
    <xf numFmtId="0" fontId="83" fillId="0" borderId="42" xfId="102" applyFont="1" applyFill="1" applyBorder="1" applyAlignment="1">
      <alignment wrapText="1"/>
    </xf>
    <xf numFmtId="0" fontId="83" fillId="0" borderId="43" xfId="102" applyFont="1" applyFill="1" applyBorder="1" applyAlignment="1">
      <alignment wrapText="1"/>
    </xf>
    <xf numFmtId="0" fontId="5" fillId="0" borderId="47" xfId="0" applyFont="1" applyBorder="1"/>
    <xf numFmtId="0" fontId="5" fillId="0" borderId="48" xfId="0" applyFont="1" applyBorder="1"/>
    <xf numFmtId="0" fontId="5" fillId="0" borderId="49" xfId="0" applyFont="1" applyBorder="1"/>
    <xf numFmtId="0" fontId="3" fillId="48" borderId="44" xfId="0" applyFont="1" applyFill="1" applyBorder="1" applyAlignment="1">
      <alignment horizontal="center" wrapText="1"/>
    </xf>
    <xf numFmtId="0" fontId="83" fillId="0" borderId="45" xfId="102" applyFont="1" applyFill="1" applyBorder="1" applyAlignment="1">
      <alignment wrapText="1"/>
    </xf>
    <xf numFmtId="0" fontId="83" fillId="0" borderId="46" xfId="102" applyFont="1" applyFill="1" applyBorder="1" applyAlignment="1">
      <alignment wrapText="1"/>
    </xf>
    <xf numFmtId="14" fontId="0" fillId="0" borderId="6" xfId="0" applyNumberFormat="1" applyBorder="1"/>
    <xf numFmtId="9" fontId="0" fillId="0" borderId="6" xfId="1" applyFont="1" applyBorder="1"/>
    <xf numFmtId="0" fontId="0" fillId="0" borderId="0" xfId="0"/>
    <xf numFmtId="9" fontId="0" fillId="0" borderId="6" xfId="0" applyNumberFormat="1" applyBorder="1"/>
    <xf numFmtId="10" fontId="0" fillId="0" borderId="6" xfId="0" applyNumberFormat="1" applyBorder="1"/>
    <xf numFmtId="0" fontId="51" fillId="47" borderId="6" xfId="0" applyFont="1" applyFill="1" applyBorder="1"/>
    <xf numFmtId="0" fontId="51" fillId="49" borderId="6" xfId="0" applyFont="1" applyFill="1" applyBorder="1"/>
    <xf numFmtId="164" fontId="0" fillId="0" borderId="6" xfId="0" applyNumberFormat="1" applyBorder="1"/>
    <xf numFmtId="10" fontId="0" fillId="0" borderId="6" xfId="1" applyNumberFormat="1" applyFont="1" applyBorder="1"/>
    <xf numFmtId="0" fontId="44" fillId="0" borderId="39" xfId="94" applyFont="1" applyFill="1" applyBorder="1" applyAlignment="1">
      <alignment wrapText="1"/>
    </xf>
    <xf numFmtId="0" fontId="0" fillId="0" borderId="40" xfId="0" applyBorder="1"/>
    <xf numFmtId="10" fontId="44" fillId="0" borderId="39" xfId="94" applyNumberFormat="1" applyFont="1" applyFill="1" applyBorder="1" applyAlignment="1">
      <alignment wrapText="1"/>
    </xf>
    <xf numFmtId="165" fontId="0" fillId="0" borderId="40" xfId="0" applyNumberFormat="1" applyBorder="1"/>
    <xf numFmtId="0" fontId="0" fillId="0" borderId="39" xfId="0" applyBorder="1"/>
    <xf numFmtId="164" fontId="0" fillId="0" borderId="40" xfId="0" applyNumberFormat="1" applyBorder="1"/>
    <xf numFmtId="0" fontId="0" fillId="0" borderId="51" xfId="0" applyBorder="1"/>
    <xf numFmtId="0" fontId="0" fillId="0" borderId="52" xfId="0" applyBorder="1"/>
    <xf numFmtId="165" fontId="0" fillId="0" borderId="52" xfId="0" applyNumberFormat="1" applyBorder="1"/>
    <xf numFmtId="165" fontId="0" fillId="0" borderId="53" xfId="0" applyNumberFormat="1" applyBorder="1"/>
    <xf numFmtId="0" fontId="0" fillId="0" borderId="6" xfId="0" applyBorder="1" applyAlignment="1">
      <alignment wrapText="1"/>
    </xf>
    <xf numFmtId="0" fontId="0" fillId="0" borderId="6" xfId="0" applyBorder="1" applyAlignment="1">
      <alignment horizontal="center" wrapText="1"/>
    </xf>
    <xf numFmtId="0" fontId="0" fillId="0" borderId="6" xfId="0" applyFill="1" applyBorder="1" applyAlignment="1">
      <alignment horizontal="center" wrapText="1"/>
    </xf>
    <xf numFmtId="10" fontId="56" fillId="0" borderId="6" xfId="0" applyNumberFormat="1" applyFont="1" applyBorder="1"/>
    <xf numFmtId="6" fontId="56" fillId="0" borderId="6" xfId="0" applyNumberFormat="1" applyFont="1" applyBorder="1"/>
    <xf numFmtId="10" fontId="56" fillId="0" borderId="6" xfId="0" applyNumberFormat="1" applyFont="1" applyBorder="1" applyAlignment="1">
      <alignment horizontal="center"/>
    </xf>
    <xf numFmtId="14" fontId="0" fillId="0" borderId="6" xfId="0" applyNumberFormat="1" applyFill="1" applyBorder="1"/>
    <xf numFmtId="0" fontId="0" fillId="47" borderId="6" xfId="0" applyFont="1" applyFill="1" applyBorder="1"/>
    <xf numFmtId="0" fontId="0" fillId="49" borderId="6" xfId="0" applyFont="1" applyFill="1" applyBorder="1"/>
    <xf numFmtId="0" fontId="0" fillId="0" borderId="37" xfId="0" applyBorder="1"/>
    <xf numFmtId="14" fontId="0" fillId="0" borderId="50" xfId="0" applyNumberFormat="1" applyFill="1" applyBorder="1"/>
    <xf numFmtId="0" fontId="0" fillId="0" borderId="50" xfId="0" applyBorder="1"/>
    <xf numFmtId="0" fontId="0" fillId="0" borderId="38" xfId="0" applyBorder="1"/>
    <xf numFmtId="0" fontId="0" fillId="47" borderId="39" xfId="0" applyFont="1" applyFill="1" applyBorder="1"/>
    <xf numFmtId="0" fontId="0" fillId="49" borderId="39" xfId="0" applyFont="1" applyFill="1" applyBorder="1"/>
    <xf numFmtId="0" fontId="0" fillId="49" borderId="51" xfId="0" applyFont="1" applyFill="1" applyBorder="1"/>
    <xf numFmtId="0" fontId="51" fillId="49" borderId="52" xfId="0" applyFont="1" applyFill="1" applyBorder="1"/>
    <xf numFmtId="0" fontId="0" fillId="0" borderId="53" xfId="0" applyBorder="1"/>
    <xf numFmtId="14" fontId="0" fillId="0" borderId="22" xfId="0" applyNumberFormat="1" applyFill="1" applyBorder="1"/>
    <xf numFmtId="0" fontId="0" fillId="0" borderId="22" xfId="0" applyBorder="1"/>
    <xf numFmtId="9" fontId="51" fillId="47" borderId="6" xfId="1" applyFont="1" applyFill="1" applyBorder="1"/>
    <xf numFmtId="9" fontId="0" fillId="0" borderId="40" xfId="1" applyFont="1" applyBorder="1"/>
    <xf numFmtId="9" fontId="51" fillId="49" borderId="6" xfId="1" applyFont="1" applyFill="1" applyBorder="1"/>
    <xf numFmtId="9" fontId="51" fillId="49" borderId="52" xfId="1" applyFont="1" applyFill="1" applyBorder="1"/>
    <xf numFmtId="9" fontId="0" fillId="0" borderId="52" xfId="1" applyFont="1" applyBorder="1"/>
    <xf numFmtId="9" fontId="0" fillId="0" borderId="53" xfId="1" applyFont="1" applyBorder="1"/>
    <xf numFmtId="166" fontId="0" fillId="0" borderId="6" xfId="93" applyNumberFormat="1" applyFont="1" applyBorder="1"/>
    <xf numFmtId="166" fontId="0" fillId="0" borderId="40" xfId="93" applyNumberFormat="1" applyFont="1" applyBorder="1"/>
    <xf numFmtId="166" fontId="0" fillId="0" borderId="52" xfId="93" applyNumberFormat="1" applyFont="1" applyBorder="1"/>
    <xf numFmtId="166" fontId="0" fillId="0" borderId="53" xfId="93" applyNumberFormat="1" applyFont="1" applyBorder="1"/>
    <xf numFmtId="14" fontId="0" fillId="0" borderId="40" xfId="0" applyNumberFormat="1" applyBorder="1"/>
    <xf numFmtId="14" fontId="0" fillId="0" borderId="39" xfId="0" applyNumberFormat="1" applyBorder="1"/>
    <xf numFmtId="14" fontId="0" fillId="0" borderId="51" xfId="0" applyNumberFormat="1" applyBorder="1"/>
    <xf numFmtId="9" fontId="0" fillId="49" borderId="6" xfId="0" applyNumberFormat="1" applyFont="1" applyFill="1" applyBorder="1"/>
    <xf numFmtId="9" fontId="0" fillId="47" borderId="6" xfId="0" applyNumberFormat="1" applyFont="1" applyFill="1" applyBorder="1"/>
    <xf numFmtId="10" fontId="51" fillId="47" borderId="6" xfId="0" applyNumberFormat="1" applyFont="1" applyFill="1" applyBorder="1"/>
    <xf numFmtId="165" fontId="0" fillId="47" borderId="6" xfId="0" applyNumberFormat="1" applyFont="1" applyFill="1" applyBorder="1"/>
    <xf numFmtId="165" fontId="0" fillId="49" borderId="6" xfId="0" applyNumberFormat="1" applyFont="1" applyFill="1" applyBorder="1"/>
    <xf numFmtId="165" fontId="51" fillId="47" borderId="6" xfId="0" applyNumberFormat="1" applyFont="1" applyFill="1" applyBorder="1"/>
    <xf numFmtId="2" fontId="0" fillId="0" borderId="0" xfId="0" applyNumberFormat="1"/>
    <xf numFmtId="2" fontId="0" fillId="0" borderId="0" xfId="93" applyNumberFormat="1" applyFont="1" applyFill="1" applyBorder="1"/>
    <xf numFmtId="0" fontId="0" fillId="0" borderId="8" xfId="0" applyFill="1" applyBorder="1"/>
    <xf numFmtId="0" fontId="0" fillId="0" borderId="56" xfId="0" applyBorder="1"/>
    <xf numFmtId="1" fontId="0" fillId="0" borderId="37" xfId="0" applyNumberFormat="1" applyBorder="1"/>
    <xf numFmtId="0" fontId="0" fillId="0" borderId="50" xfId="0" applyFill="1" applyBorder="1"/>
    <xf numFmtId="9" fontId="0" fillId="0" borderId="50" xfId="1" applyFont="1" applyBorder="1"/>
    <xf numFmtId="9" fontId="0" fillId="0" borderId="38" xfId="1" applyFont="1" applyBorder="1"/>
    <xf numFmtId="0" fontId="85" fillId="0" borderId="57" xfId="0" applyFont="1" applyFill="1" applyBorder="1" applyAlignment="1" applyProtection="1">
      <alignment horizontal="left" vertical="center" wrapText="1"/>
    </xf>
    <xf numFmtId="0" fontId="86" fillId="0" borderId="52" xfId="0" applyFont="1" applyBorder="1" applyAlignment="1">
      <alignment horizontal="center" vertical="top" wrapText="1"/>
    </xf>
    <xf numFmtId="0" fontId="86" fillId="0" borderId="53" xfId="0" applyFont="1" applyBorder="1" applyAlignment="1">
      <alignment horizontal="center" vertical="top"/>
    </xf>
    <xf numFmtId="0" fontId="87" fillId="0" borderId="58" xfId="0" applyFont="1" applyBorder="1" applyAlignment="1">
      <alignment horizontal="left" vertical="top" wrapText="1"/>
    </xf>
    <xf numFmtId="0" fontId="37" fillId="0" borderId="48" xfId="0" applyFont="1" applyFill="1" applyBorder="1" applyAlignment="1">
      <alignment horizontal="center" wrapText="1"/>
    </xf>
    <xf numFmtId="0" fontId="52" fillId="0" borderId="0" xfId="94"/>
    <xf numFmtId="9" fontId="52" fillId="0" borderId="0" xfId="94" applyNumberFormat="1"/>
    <xf numFmtId="9" fontId="89" fillId="0" borderId="0" xfId="94" applyNumberFormat="1" applyFont="1"/>
    <xf numFmtId="38" fontId="52" fillId="0" borderId="0" xfId="94" applyNumberFormat="1"/>
    <xf numFmtId="38" fontId="89" fillId="0" borderId="0" xfId="94" applyNumberFormat="1" applyFont="1"/>
    <xf numFmtId="38" fontId="52" fillId="0" borderId="0" xfId="94" applyNumberFormat="1" applyFont="1"/>
    <xf numFmtId="9" fontId="52" fillId="0" borderId="0" xfId="94" applyNumberFormat="1" applyFont="1"/>
    <xf numFmtId="9" fontId="52" fillId="0" borderId="0" xfId="94" applyNumberFormat="1"/>
    <xf numFmtId="9" fontId="89" fillId="0" borderId="0" xfId="94" applyNumberFormat="1" applyFont="1"/>
    <xf numFmtId="38" fontId="52" fillId="0" borderId="0" xfId="94" applyNumberFormat="1"/>
    <xf numFmtId="38" fontId="89" fillId="0" borderId="0" xfId="94" applyNumberFormat="1" applyFont="1"/>
    <xf numFmtId="38" fontId="52" fillId="0" borderId="0" xfId="94" applyNumberFormat="1" applyFont="1"/>
    <xf numFmtId="9" fontId="52" fillId="0" borderId="0" xfId="94" applyNumberFormat="1" applyFont="1"/>
    <xf numFmtId="38" fontId="52" fillId="0" borderId="0" xfId="94" applyNumberFormat="1"/>
    <xf numFmtId="38" fontId="89" fillId="0" borderId="0" xfId="94" applyNumberFormat="1" applyFont="1"/>
    <xf numFmtId="38" fontId="52" fillId="0" borderId="0" xfId="94" applyNumberFormat="1" applyFont="1"/>
    <xf numFmtId="6" fontId="52" fillId="0" borderId="0" xfId="94" applyNumberFormat="1"/>
    <xf numFmtId="6" fontId="89" fillId="0" borderId="0" xfId="94" applyNumberFormat="1" applyFont="1"/>
    <xf numFmtId="6" fontId="52" fillId="0" borderId="0" xfId="94" applyNumberFormat="1" applyFont="1"/>
    <xf numFmtId="0" fontId="90" fillId="0" borderId="0" xfId="0" applyFont="1" applyAlignment="1">
      <alignment wrapText="1"/>
    </xf>
    <xf numFmtId="0" fontId="90" fillId="0" borderId="0" xfId="0" applyNumberFormat="1" applyFont="1"/>
    <xf numFmtId="3" fontId="13" fillId="0" borderId="6" xfId="0" applyNumberFormat="1" applyFont="1" applyFill="1" applyBorder="1"/>
    <xf numFmtId="9" fontId="13" fillId="0" borderId="6" xfId="0" applyNumberFormat="1" applyFont="1" applyFill="1" applyBorder="1" applyAlignment="1">
      <alignment wrapText="1"/>
    </xf>
    <xf numFmtId="3" fontId="13" fillId="0" borderId="6" xfId="0" applyNumberFormat="1" applyFont="1" applyFill="1" applyBorder="1" applyAlignment="1">
      <alignment wrapText="1"/>
    </xf>
    <xf numFmtId="9" fontId="13" fillId="0" borderId="6" xfId="1" applyFont="1" applyBorder="1" applyAlignment="1">
      <alignment wrapText="1"/>
    </xf>
    <xf numFmtId="165" fontId="13" fillId="0" borderId="6" xfId="0" applyNumberFormat="1" applyFont="1" applyBorder="1" applyAlignment="1">
      <alignment wrapText="1"/>
    </xf>
    <xf numFmtId="164" fontId="13" fillId="0" borderId="7" xfId="0" applyNumberFormat="1" applyFont="1" applyBorder="1" applyAlignment="1">
      <alignment wrapText="1"/>
    </xf>
    <xf numFmtId="3" fontId="62" fillId="0" borderId="6" xfId="0" applyNumberFormat="1" applyFont="1" applyFill="1" applyBorder="1"/>
    <xf numFmtId="9" fontId="62" fillId="0" borderId="6" xfId="0" applyNumberFormat="1" applyFont="1" applyFill="1" applyBorder="1" applyAlignment="1">
      <alignment wrapText="1"/>
    </xf>
    <xf numFmtId="9" fontId="62" fillId="0" borderId="7" xfId="1" applyFont="1" applyBorder="1" applyAlignment="1">
      <alignment wrapText="1"/>
    </xf>
    <xf numFmtId="165" fontId="62" fillId="0" borderId="7" xfId="0" applyNumberFormat="1" applyFont="1" applyBorder="1" applyAlignment="1">
      <alignment wrapText="1"/>
    </xf>
    <xf numFmtId="166" fontId="62" fillId="0" borderId="7" xfId="0" applyNumberFormat="1" applyFont="1" applyBorder="1" applyAlignment="1">
      <alignment wrapText="1"/>
    </xf>
    <xf numFmtId="164" fontId="62" fillId="0" borderId="7" xfId="0" applyNumberFormat="1" applyFont="1" applyBorder="1" applyAlignment="1">
      <alignment wrapText="1"/>
    </xf>
    <xf numFmtId="0" fontId="62" fillId="0" borderId="7" xfId="1" applyNumberFormat="1" applyFont="1" applyBorder="1" applyAlignment="1">
      <alignment wrapText="1"/>
    </xf>
    <xf numFmtId="0" fontId="83" fillId="0" borderId="59" xfId="101" applyFont="1" applyFill="1" applyBorder="1" applyAlignment="1">
      <alignment wrapText="1"/>
    </xf>
    <xf numFmtId="0" fontId="62" fillId="0" borderId="60" xfId="0" applyFont="1" applyFill="1" applyBorder="1" applyAlignment="1">
      <alignment vertical="center" wrapText="1"/>
    </xf>
    <xf numFmtId="0" fontId="62" fillId="0" borderId="60" xfId="1" applyNumberFormat="1" applyFont="1" applyBorder="1" applyAlignment="1">
      <alignment wrapText="1"/>
    </xf>
    <xf numFmtId="0" fontId="17" fillId="0" borderId="2" xfId="0" applyFont="1" applyBorder="1" applyAlignment="1">
      <alignment horizontal="center"/>
    </xf>
    <xf numFmtId="0" fontId="17" fillId="0" borderId="2" xfId="0" applyFont="1" applyBorder="1" applyAlignment="1">
      <alignment wrapText="1"/>
    </xf>
    <xf numFmtId="9" fontId="52" fillId="47" borderId="61" xfId="94" applyNumberFormat="1" applyFont="1" applyFill="1" applyBorder="1"/>
    <xf numFmtId="9" fontId="52" fillId="49" borderId="62" xfId="94" applyNumberFormat="1" applyFont="1" applyFill="1" applyBorder="1"/>
    <xf numFmtId="9" fontId="52" fillId="47" borderId="62" xfId="94" applyNumberFormat="1" applyFont="1" applyFill="1" applyBorder="1"/>
    <xf numFmtId="9" fontId="52" fillId="49" borderId="63" xfId="94" applyNumberFormat="1" applyFont="1" applyFill="1" applyBorder="1"/>
    <xf numFmtId="6" fontId="52" fillId="47" borderId="64" xfId="94" applyNumberFormat="1" applyFont="1" applyFill="1" applyBorder="1"/>
    <xf numFmtId="6" fontId="52" fillId="49" borderId="65" xfId="94" applyNumberFormat="1" applyFont="1" applyFill="1" applyBorder="1"/>
    <xf numFmtId="6" fontId="52" fillId="47" borderId="65" xfId="94" applyNumberFormat="1" applyFont="1" applyFill="1" applyBorder="1"/>
    <xf numFmtId="6" fontId="52" fillId="49" borderId="66" xfId="94" applyNumberFormat="1" applyFont="1" applyFill="1" applyBorder="1"/>
    <xf numFmtId="9" fontId="62" fillId="0" borderId="7" xfId="1" applyFont="1" applyBorder="1" applyAlignment="1">
      <alignment shrinkToFit="1"/>
    </xf>
    <xf numFmtId="9" fontId="13" fillId="0" borderId="7" xfId="1" applyFont="1" applyBorder="1" applyAlignment="1">
      <alignment shrinkToFit="1"/>
    </xf>
    <xf numFmtId="3" fontId="6" fillId="0" borderId="6" xfId="4" applyNumberFormat="1" applyFont="1" applyFill="1" applyBorder="1" applyAlignment="1">
      <alignment wrapText="1"/>
    </xf>
    <xf numFmtId="3" fontId="6" fillId="0" borderId="6" xfId="0" applyNumberFormat="1" applyFont="1" applyFill="1" applyBorder="1" applyAlignment="1">
      <alignment wrapText="1"/>
    </xf>
    <xf numFmtId="165" fontId="51" fillId="47" borderId="6" xfId="93" applyNumberFormat="1" applyFont="1" applyFill="1" applyBorder="1"/>
    <xf numFmtId="165" fontId="0" fillId="0" borderId="6" xfId="93" applyNumberFormat="1" applyFont="1" applyBorder="1"/>
    <xf numFmtId="165" fontId="51" fillId="49" borderId="6" xfId="93" applyNumberFormat="1" applyFont="1" applyFill="1" applyBorder="1"/>
    <xf numFmtId="165" fontId="51" fillId="49" borderId="52" xfId="93" applyNumberFormat="1" applyFont="1" applyFill="1" applyBorder="1"/>
    <xf numFmtId="165" fontId="0" fillId="0" borderId="52" xfId="93" applyNumberFormat="1" applyFont="1" applyBorder="1"/>
    <xf numFmtId="169" fontId="53" fillId="0" borderId="0" xfId="96"/>
    <xf numFmtId="169" fontId="53" fillId="0" borderId="0" xfId="104"/>
    <xf numFmtId="169" fontId="53" fillId="0" borderId="0" xfId="96" applyNumberFormat="1" applyAlignment="1">
      <alignment horizontal="left"/>
    </xf>
    <xf numFmtId="3" fontId="53" fillId="0" borderId="0" xfId="96" applyNumberFormat="1"/>
    <xf numFmtId="169" fontId="53" fillId="0" borderId="0" xfId="96" applyAlignment="1">
      <alignment horizontal="left" indent="1"/>
    </xf>
    <xf numFmtId="164" fontId="53" fillId="0" borderId="0" xfId="96" applyNumberFormat="1"/>
    <xf numFmtId="0" fontId="1" fillId="0" borderId="0" xfId="105"/>
    <xf numFmtId="0" fontId="57" fillId="0" borderId="12" xfId="0" applyFont="1" applyBorder="1" applyAlignment="1">
      <alignment horizontal="center"/>
    </xf>
    <xf numFmtId="10" fontId="49" fillId="6" borderId="6" xfId="0" applyNumberFormat="1" applyFont="1" applyFill="1" applyBorder="1" applyAlignment="1">
      <alignment horizontal="left" wrapText="1"/>
    </xf>
    <xf numFmtId="0" fontId="3" fillId="45" borderId="0" xfId="0" applyFont="1" applyFill="1" applyBorder="1" applyAlignment="1">
      <alignment horizontal="center"/>
    </xf>
    <xf numFmtId="0" fontId="3" fillId="45" borderId="3" xfId="0" applyFont="1" applyFill="1" applyBorder="1" applyAlignment="1">
      <alignment horizontal="center"/>
    </xf>
    <xf numFmtId="0" fontId="2" fillId="6" borderId="0" xfId="0" applyFont="1" applyFill="1" applyBorder="1" applyAlignment="1">
      <alignment horizontal="center"/>
    </xf>
    <xf numFmtId="0" fontId="13" fillId="10" borderId="0" xfId="2" applyFont="1" applyFill="1" applyBorder="1" applyAlignment="1">
      <alignment horizontal="right" wrapText="1"/>
    </xf>
    <xf numFmtId="0" fontId="8" fillId="9" borderId="0" xfId="0" applyFont="1" applyFill="1" applyBorder="1" applyAlignment="1">
      <alignment horizontal="center"/>
    </xf>
    <xf numFmtId="0" fontId="11" fillId="0" borderId="0" xfId="2" applyAlignment="1">
      <alignment horizontal="left"/>
    </xf>
    <xf numFmtId="0" fontId="11" fillId="0" borderId="0" xfId="2"/>
    <xf numFmtId="0" fontId="17" fillId="8" borderId="0" xfId="0" applyFont="1" applyFill="1" applyBorder="1" applyAlignment="1">
      <alignment horizontal="right" vertical="top"/>
    </xf>
    <xf numFmtId="0" fontId="17" fillId="8" borderId="0" xfId="0" applyFont="1" applyFill="1" applyBorder="1" applyAlignment="1">
      <alignment horizontal="left" vertical="top"/>
    </xf>
    <xf numFmtId="0" fontId="6" fillId="8" borderId="0" xfId="0" applyFont="1" applyFill="1" applyBorder="1" applyAlignment="1">
      <alignment horizontal="center" wrapText="1"/>
    </xf>
    <xf numFmtId="0" fontId="5" fillId="10" borderId="0" xfId="0" applyFont="1" applyFill="1" applyBorder="1" applyAlignment="1">
      <alignment horizontal="center" wrapText="1"/>
    </xf>
    <xf numFmtId="0" fontId="5" fillId="10" borderId="0" xfId="0" applyFont="1" applyFill="1" applyBorder="1" applyAlignment="1">
      <alignment horizontal="right" wrapText="1"/>
    </xf>
    <xf numFmtId="0" fontId="13" fillId="10" borderId="0" xfId="2" applyFont="1" applyFill="1" applyBorder="1" applyAlignment="1">
      <alignment horizontal="center" wrapText="1"/>
    </xf>
    <xf numFmtId="0" fontId="7" fillId="42" borderId="0" xfId="0" applyFont="1" applyFill="1" applyBorder="1" applyAlignment="1">
      <alignment horizontal="right"/>
    </xf>
    <xf numFmtId="9" fontId="8" fillId="42" borderId="0" xfId="0" applyNumberFormat="1" applyFont="1" applyFill="1" applyBorder="1" applyAlignment="1">
      <alignment horizontal="center" wrapText="1"/>
    </xf>
    <xf numFmtId="0" fontId="11" fillId="0" borderId="0" xfId="2" applyFill="1"/>
    <xf numFmtId="0" fontId="8" fillId="0" borderId="0" xfId="0" applyFont="1" applyBorder="1" applyAlignment="1">
      <alignment horizontal="right" wrapText="1"/>
    </xf>
    <xf numFmtId="0" fontId="7" fillId="0" borderId="0" xfId="0" applyFont="1" applyFill="1" applyBorder="1" applyAlignment="1">
      <alignment horizontal="right"/>
    </xf>
    <xf numFmtId="9" fontId="8" fillId="0" borderId="0" xfId="0" applyNumberFormat="1" applyFont="1" applyFill="1" applyBorder="1" applyAlignment="1">
      <alignment horizontal="center"/>
    </xf>
    <xf numFmtId="0" fontId="8" fillId="44" borderId="0" xfId="0" applyFont="1" applyFill="1" applyBorder="1" applyAlignment="1">
      <alignment horizontal="right" wrapText="1"/>
    </xf>
    <xf numFmtId="9" fontId="8" fillId="42" borderId="0" xfId="0" applyNumberFormat="1" applyFont="1" applyFill="1" applyBorder="1" applyAlignment="1">
      <alignment horizontal="center"/>
    </xf>
    <xf numFmtId="9" fontId="8" fillId="0" borderId="0" xfId="0" applyNumberFormat="1" applyFont="1" applyFill="1" applyBorder="1" applyAlignment="1">
      <alignment horizontal="center" wrapText="1"/>
    </xf>
    <xf numFmtId="0" fontId="18" fillId="0" borderId="0" xfId="0" applyFont="1" applyBorder="1" applyAlignment="1">
      <alignment horizontal="center"/>
    </xf>
    <xf numFmtId="0" fontId="58" fillId="0" borderId="0" xfId="0" applyFont="1" applyAlignment="1">
      <alignment horizontal="center" wrapText="1"/>
    </xf>
    <xf numFmtId="0" fontId="7" fillId="0" borderId="0" xfId="0" applyFont="1" applyBorder="1" applyAlignment="1">
      <alignment horizontal="center" wrapText="1"/>
    </xf>
    <xf numFmtId="6" fontId="8" fillId="0" borderId="0" xfId="0" applyNumberFormat="1" applyFont="1" applyFill="1" applyBorder="1" applyAlignment="1">
      <alignment horizontal="center"/>
    </xf>
    <xf numFmtId="0" fontId="2" fillId="6" borderId="0" xfId="0" applyFont="1" applyFill="1" applyAlignment="1">
      <alignment horizontal="center"/>
    </xf>
    <xf numFmtId="0" fontId="3" fillId="45" borderId="0" xfId="0" applyFont="1" applyFill="1" applyAlignment="1">
      <alignment horizontal="center"/>
    </xf>
    <xf numFmtId="10" fontId="49" fillId="6" borderId="6" xfId="0" applyNumberFormat="1" applyFont="1" applyFill="1" applyBorder="1" applyAlignment="1">
      <alignment horizontal="left"/>
    </xf>
    <xf numFmtId="9" fontId="7" fillId="0" borderId="0" xfId="0" applyNumberFormat="1" applyFont="1" applyFill="1" applyBorder="1" applyAlignment="1">
      <alignment horizontal="center" wrapText="1"/>
    </xf>
    <xf numFmtId="9" fontId="7" fillId="42" borderId="0" xfId="0" applyNumberFormat="1" applyFont="1" applyFill="1" applyBorder="1" applyAlignment="1">
      <alignment horizontal="center" wrapText="1"/>
    </xf>
    <xf numFmtId="0" fontId="47" fillId="0" borderId="4" xfId="0" applyFont="1" applyFill="1" applyBorder="1" applyAlignment="1">
      <alignment horizontal="center" wrapText="1"/>
    </xf>
    <xf numFmtId="0" fontId="47" fillId="0" borderId="2" xfId="0" applyFont="1" applyFill="1" applyBorder="1" applyAlignment="1">
      <alignment horizontal="center" wrapText="1"/>
    </xf>
    <xf numFmtId="0" fontId="47" fillId="0" borderId="5" xfId="0" applyFont="1" applyFill="1" applyBorder="1" applyAlignment="1">
      <alignment horizontal="center" wrapText="1"/>
    </xf>
    <xf numFmtId="9" fontId="91" fillId="0" borderId="6" xfId="1" applyFont="1" applyBorder="1" applyAlignment="1">
      <alignment vertical="center" wrapText="1"/>
    </xf>
    <xf numFmtId="9" fontId="91" fillId="0" borderId="29" xfId="1" applyFont="1" applyBorder="1" applyAlignment="1">
      <alignment vertical="center" wrapText="1"/>
    </xf>
    <xf numFmtId="9" fontId="44" fillId="0" borderId="27" xfId="0" applyNumberFormat="1" applyFont="1" applyFill="1" applyBorder="1" applyAlignment="1">
      <alignment horizontal="left" wrapText="1"/>
    </xf>
    <xf numFmtId="9" fontId="44" fillId="0" borderId="12" xfId="0" applyNumberFormat="1" applyFont="1" applyFill="1" applyBorder="1" applyAlignment="1">
      <alignment horizontal="left" wrapText="1"/>
    </xf>
    <xf numFmtId="9" fontId="44" fillId="0" borderId="26" xfId="0" applyNumberFormat="1" applyFont="1" applyFill="1" applyBorder="1" applyAlignment="1">
      <alignment horizontal="left" wrapText="1"/>
    </xf>
    <xf numFmtId="10" fontId="12" fillId="3" borderId="9" xfId="0" applyNumberFormat="1" applyFont="1" applyFill="1" applyBorder="1" applyAlignment="1">
      <alignment horizontal="center"/>
    </xf>
    <xf numFmtId="10" fontId="12" fillId="3" borderId="0" xfId="0" applyNumberFormat="1" applyFont="1" applyFill="1" applyBorder="1" applyAlignment="1">
      <alignment horizontal="center"/>
    </xf>
    <xf numFmtId="10" fontId="12" fillId="3" borderId="10" xfId="0" applyNumberFormat="1" applyFont="1" applyFill="1" applyBorder="1" applyAlignment="1">
      <alignment horizontal="center"/>
    </xf>
    <xf numFmtId="164" fontId="44" fillId="0" borderId="7" xfId="0" applyNumberFormat="1" applyFont="1" applyBorder="1" applyAlignment="1">
      <alignment horizontal="left" wrapText="1"/>
    </xf>
    <xf numFmtId="164" fontId="44" fillId="0" borderId="25" xfId="0" applyNumberFormat="1" applyFont="1" applyBorder="1" applyAlignment="1">
      <alignment horizontal="left" wrapText="1"/>
    </xf>
    <xf numFmtId="164" fontId="44" fillId="0" borderId="23" xfId="0" applyNumberFormat="1" applyFont="1" applyBorder="1" applyAlignment="1">
      <alignment horizontal="left" wrapText="1"/>
    </xf>
    <xf numFmtId="164" fontId="6" fillId="0" borderId="7" xfId="0" applyNumberFormat="1" applyFont="1" applyBorder="1" applyAlignment="1">
      <alignment wrapText="1"/>
    </xf>
    <xf numFmtId="164" fontId="6" fillId="0" borderId="25" xfId="0" applyNumberFormat="1" applyFont="1" applyBorder="1" applyAlignment="1">
      <alignment wrapText="1"/>
    </xf>
    <xf numFmtId="164" fontId="6" fillId="0" borderId="23" xfId="0" applyNumberFormat="1" applyFont="1" applyBorder="1" applyAlignment="1">
      <alignment wrapText="1"/>
    </xf>
    <xf numFmtId="9" fontId="44" fillId="0" borderId="29" xfId="0" applyNumberFormat="1" applyFont="1" applyFill="1" applyBorder="1" applyAlignment="1">
      <alignment horizontal="left" vertical="top" wrapText="1"/>
    </xf>
    <xf numFmtId="9" fontId="44" fillId="0" borderId="8" xfId="0" applyNumberFormat="1" applyFont="1" applyFill="1" applyBorder="1" applyAlignment="1">
      <alignment horizontal="left" vertical="top" wrapText="1"/>
    </xf>
    <xf numFmtId="10" fontId="12" fillId="3" borderId="6" xfId="0" applyNumberFormat="1" applyFont="1" applyFill="1" applyBorder="1" applyAlignment="1">
      <alignment horizontal="center"/>
    </xf>
    <xf numFmtId="0" fontId="45" fillId="0" borderId="6" xfId="0" applyFont="1" applyBorder="1" applyAlignment="1">
      <alignment horizontal="center"/>
    </xf>
    <xf numFmtId="9" fontId="44" fillId="0" borderId="7" xfId="0" applyNumberFormat="1" applyFont="1" applyFill="1" applyBorder="1" applyAlignment="1">
      <alignment horizontal="left" wrapText="1"/>
    </xf>
    <xf numFmtId="9" fontId="44" fillId="0" borderId="25" xfId="0" applyNumberFormat="1" applyFont="1" applyFill="1" applyBorder="1" applyAlignment="1">
      <alignment horizontal="left" wrapText="1"/>
    </xf>
    <xf numFmtId="9" fontId="44" fillId="0" borderId="23" xfId="0" applyNumberFormat="1" applyFont="1" applyFill="1" applyBorder="1" applyAlignment="1">
      <alignment horizontal="left" wrapText="1"/>
    </xf>
    <xf numFmtId="0" fontId="5" fillId="0" borderId="0" xfId="0" applyFont="1" applyAlignment="1">
      <alignment horizontal="center"/>
    </xf>
    <xf numFmtId="10" fontId="12" fillId="3" borderId="7" xfId="0" applyNumberFormat="1" applyFont="1" applyFill="1" applyBorder="1" applyAlignment="1">
      <alignment horizontal="center"/>
    </xf>
    <xf numFmtId="10" fontId="12" fillId="3" borderId="25" xfId="0" applyNumberFormat="1" applyFont="1" applyFill="1" applyBorder="1" applyAlignment="1">
      <alignment horizontal="center"/>
    </xf>
    <xf numFmtId="10" fontId="12" fillId="3" borderId="23" xfId="0" applyNumberFormat="1" applyFont="1" applyFill="1" applyBorder="1" applyAlignment="1">
      <alignment horizontal="center"/>
    </xf>
    <xf numFmtId="0" fontId="44" fillId="0" borderId="24" xfId="0" applyFont="1" applyFill="1" applyBorder="1" applyAlignment="1">
      <alignment horizontal="center" wrapText="1"/>
    </xf>
    <xf numFmtId="0" fontId="44" fillId="0" borderId="13" xfId="0" applyFont="1" applyFill="1" applyBorder="1" applyAlignment="1">
      <alignment horizontal="center" wrapText="1"/>
    </xf>
    <xf numFmtId="0" fontId="44" fillId="0" borderId="28" xfId="0" applyFont="1" applyFill="1" applyBorder="1" applyAlignment="1">
      <alignment horizontal="center" wrapText="1"/>
    </xf>
    <xf numFmtId="0" fontId="48" fillId="0" borderId="7" xfId="3" applyFont="1" applyBorder="1" applyAlignment="1" applyProtection="1">
      <alignment horizontal="center"/>
    </xf>
    <xf numFmtId="0" fontId="48" fillId="0" borderId="25" xfId="3" applyFont="1" applyBorder="1" applyAlignment="1" applyProtection="1">
      <alignment horizontal="center"/>
    </xf>
    <xf numFmtId="0" fontId="48" fillId="0" borderId="23" xfId="3" applyFont="1" applyBorder="1" applyAlignment="1" applyProtection="1">
      <alignment horizontal="center"/>
    </xf>
    <xf numFmtId="165" fontId="44" fillId="0" borderId="6" xfId="0" applyNumberFormat="1" applyFont="1" applyBorder="1" applyAlignment="1">
      <alignment horizontal="left" wrapText="1"/>
    </xf>
    <xf numFmtId="0" fontId="44" fillId="0" borderId="7" xfId="0" applyFont="1" applyBorder="1" applyAlignment="1">
      <alignment horizontal="center"/>
    </xf>
    <xf numFmtId="0" fontId="44" fillId="0" borderId="25" xfId="0" applyFont="1" applyBorder="1" applyAlignment="1">
      <alignment horizontal="center"/>
    </xf>
    <xf numFmtId="0" fontId="44" fillId="0" borderId="23" xfId="0" applyFont="1" applyBorder="1" applyAlignment="1">
      <alignment horizontal="center"/>
    </xf>
    <xf numFmtId="3" fontId="44" fillId="0" borderId="6" xfId="0" applyNumberFormat="1" applyFont="1" applyFill="1" applyBorder="1" applyAlignment="1">
      <alignment wrapText="1"/>
    </xf>
    <xf numFmtId="164" fontId="44" fillId="0" borderId="6" xfId="0" applyNumberFormat="1" applyFont="1" applyFill="1" applyBorder="1" applyAlignment="1">
      <alignment wrapText="1"/>
    </xf>
    <xf numFmtId="0" fontId="0" fillId="0" borderId="12" xfId="0" applyBorder="1" applyAlignment="1">
      <alignment horizontal="center"/>
    </xf>
    <xf numFmtId="0" fontId="3" fillId="0" borderId="13" xfId="0" applyFont="1" applyBorder="1" applyAlignment="1">
      <alignment horizontal="center"/>
    </xf>
    <xf numFmtId="0" fontId="7" fillId="46" borderId="54" xfId="0" applyFont="1" applyFill="1" applyBorder="1" applyAlignment="1">
      <alignment horizontal="center"/>
    </xf>
    <xf numFmtId="0" fontId="7" fillId="46" borderId="22" xfId="0" applyFont="1" applyFill="1" applyBorder="1" applyAlignment="1">
      <alignment horizontal="center"/>
    </xf>
    <xf numFmtId="0" fontId="7" fillId="46" borderId="55" xfId="0" applyFont="1" applyFill="1" applyBorder="1" applyAlignment="1">
      <alignment horizontal="center"/>
    </xf>
  </cellXfs>
  <cellStyles count="106">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xfId="4" builtinId="23"/>
    <cellStyle name="Check Cell 2" xfId="35"/>
    <cellStyle name="Comma 2" xfId="8"/>
    <cellStyle name="Comma 3" xfId="7"/>
    <cellStyle name="Currency" xfId="93" builtinId="4"/>
    <cellStyle name="Currency 2" xfId="98"/>
    <cellStyle name="Explanatory Text 2" xfId="36"/>
    <cellStyle name="Good 2" xfId="37"/>
    <cellStyle name="Heading 1 2" xfId="38"/>
    <cellStyle name="Heading 2 2" xfId="39"/>
    <cellStyle name="Heading 3 2" xfId="40"/>
    <cellStyle name="Heading 4 2" xfId="41"/>
    <cellStyle name="Hyperlink" xfId="3" builtinId="8"/>
    <cellStyle name="Input 2" xfId="42"/>
    <cellStyle name="Linked Cell 2" xfId="43"/>
    <cellStyle name="Neutral 2" xfId="44"/>
    <cellStyle name="Normal" xfId="0" builtinId="0"/>
    <cellStyle name="Normal 119" xfId="45"/>
    <cellStyle name="Normal 120" xfId="46"/>
    <cellStyle name="Normal 121" xfId="47"/>
    <cellStyle name="Normal 122" xfId="48"/>
    <cellStyle name="Normal 123" xfId="49"/>
    <cellStyle name="Normal 124" xfId="50"/>
    <cellStyle name="Normal 125" xfId="51"/>
    <cellStyle name="Normal 126" xfId="52"/>
    <cellStyle name="Normal 127" xfId="53"/>
    <cellStyle name="Normal 128" xfId="54"/>
    <cellStyle name="Normal 129" xfId="55"/>
    <cellStyle name="Normal 130" xfId="56"/>
    <cellStyle name="Normal 131" xfId="57"/>
    <cellStyle name="Normal 132" xfId="58"/>
    <cellStyle name="Normal 133" xfId="59"/>
    <cellStyle name="Normal 134" xfId="60"/>
    <cellStyle name="Normal 135" xfId="61"/>
    <cellStyle name="Normal 136" xfId="62"/>
    <cellStyle name="Normal 137" xfId="63"/>
    <cellStyle name="Normal 138" xfId="64"/>
    <cellStyle name="Normal 139" xfId="65"/>
    <cellStyle name="Normal 140" xfId="66"/>
    <cellStyle name="Normal 141" xfId="67"/>
    <cellStyle name="Normal 142" xfId="68"/>
    <cellStyle name="Normal 143" xfId="69"/>
    <cellStyle name="Normal 144" xfId="70"/>
    <cellStyle name="Normal 145" xfId="71"/>
    <cellStyle name="Normal 146" xfId="72"/>
    <cellStyle name="Normal 147" xfId="73"/>
    <cellStyle name="Normal 148" xfId="74"/>
    <cellStyle name="Normal 149" xfId="75"/>
    <cellStyle name="Normal 2" xfId="2"/>
    <cellStyle name="Normal 2 2" xfId="96"/>
    <cellStyle name="Normal 3" xfId="6"/>
    <cellStyle name="Normal 3 2" xfId="105"/>
    <cellStyle name="Normal 4" xfId="94"/>
    <cellStyle name="Normal 5" xfId="76"/>
    <cellStyle name="Normal 6" xfId="97"/>
    <cellStyle name="Normal 6 2" xfId="99"/>
    <cellStyle name="Normal 7" xfId="100"/>
    <cellStyle name="Normal 8" xfId="103"/>
    <cellStyle name="Normal 8 2" xfId="104"/>
    <cellStyle name="Normal_Area Pivot Tables" xfId="101"/>
    <cellStyle name="Normal_Definitions" xfId="102"/>
    <cellStyle name="Note 2" xfId="77"/>
    <cellStyle name="Note 2 2" xfId="78"/>
    <cellStyle name="Note 3" xfId="79"/>
    <cellStyle name="Note 3 2" xfId="80"/>
    <cellStyle name="Note 4" xfId="81"/>
    <cellStyle name="Note 4 2" xfId="82"/>
    <cellStyle name="Note 5" xfId="83"/>
    <cellStyle name="Note 5 2" xfId="84"/>
    <cellStyle name="Note 6" xfId="85"/>
    <cellStyle name="Note 6 2" xfId="86"/>
    <cellStyle name="Output 2" xfId="87"/>
    <cellStyle name="Percent" xfId="1" builtinId="5"/>
    <cellStyle name="Percent 115" xfId="89"/>
    <cellStyle name="Percent 116" xfId="90"/>
    <cellStyle name="Percent 2" xfId="88"/>
    <cellStyle name="Percent 3" xfId="95"/>
    <cellStyle name="Title" xfId="5" builtinId="15" customBuiltin="1"/>
    <cellStyle name="Total 2" xfId="91"/>
    <cellStyle name="Warning Text 2" xfId="92"/>
  </cellStyles>
  <dxfs count="17">
    <dxf>
      <numFmt numFmtId="165" formatCode="&quot;$&quot;#,##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65" formatCode="&quot;$&quot;#,##0"/>
      <border diagonalUp="0" diagonalDown="0" outline="0">
        <left style="thin">
          <color indexed="64"/>
        </left>
        <right style="thin">
          <color indexed="64"/>
        </right>
        <top style="thin">
          <color indexed="64"/>
        </top>
        <bottom style="thin">
          <color indexed="64"/>
        </bottom>
      </border>
    </dxf>
    <dxf>
      <numFmt numFmtId="14" formatCode="0.00%"/>
      <border diagonalUp="0" diagonalDown="0" outline="0">
        <left style="thin">
          <color indexed="64"/>
        </left>
        <right style="thin">
          <color indexed="64"/>
        </right>
        <top style="thin">
          <color indexed="64"/>
        </top>
        <bottom style="thin">
          <color indexed="64"/>
        </bottom>
      </border>
    </dxf>
    <dxf>
      <numFmt numFmtId="3" formatCode="#,##0"/>
      <border diagonalUp="0" diagonalDown="0" outline="0">
        <left style="thin">
          <color indexed="64"/>
        </left>
        <right style="thin">
          <color indexed="64"/>
        </right>
        <top style="thin">
          <color indexed="64"/>
        </top>
        <bottom style="thin">
          <color indexed="64"/>
        </bottom>
      </border>
    </dxf>
    <dxf>
      <numFmt numFmtId="3" formatCode="#,##0"/>
      <border diagonalUp="0" diagonalDown="0" outline="0">
        <left style="thin">
          <color indexed="64"/>
        </left>
        <right style="thin">
          <color indexed="64"/>
        </right>
        <top style="thin">
          <color indexed="64"/>
        </top>
        <bottom style="thin">
          <color indexed="64"/>
        </bottom>
      </border>
    </dxf>
    <dxf>
      <numFmt numFmtId="14" formatCode="0.00%"/>
      <border diagonalUp="0" diagonalDown="0" outline="0">
        <left style="thin">
          <color indexed="64"/>
        </left>
        <right style="thin">
          <color indexed="64"/>
        </right>
        <top style="thin">
          <color indexed="64"/>
        </top>
        <bottom style="thin">
          <color indexed="64"/>
        </bottom>
      </border>
    </dxf>
    <dxf>
      <numFmt numFmtId="3" formatCode="#,##0"/>
      <border diagonalUp="0" diagonalDown="0" outline="0">
        <left style="thin">
          <color indexed="64"/>
        </left>
        <right style="thin">
          <color indexed="64"/>
        </right>
        <top style="thin">
          <color indexed="64"/>
        </top>
        <bottom style="thin">
          <color indexed="64"/>
        </bottom>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numFmt numFmtId="0" formatCode="Genera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B5170B"/>
      <color rgb="FFCC3300"/>
      <color rgb="FFF7B229"/>
      <color rgb="FFFFFF0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9" Type="http://schemas.openxmlformats.org/officeDocument/2006/relationships/pivotCacheDefinition" Target="pivotCache/pivotCacheDefinition22.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34" Type="http://schemas.openxmlformats.org/officeDocument/2006/relationships/pivotCacheDefinition" Target="pivotCache/pivotCacheDefinition17.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ivotCacheDefinition" Target="pivotCache/pivotCacheDefinition8.xml"/><Relationship Id="rId33" Type="http://schemas.openxmlformats.org/officeDocument/2006/relationships/pivotCacheDefinition" Target="pivotCache/pivotCacheDefinition16.xml"/><Relationship Id="rId38" Type="http://schemas.openxmlformats.org/officeDocument/2006/relationships/pivotCacheDefinition" Target="pivotCache/pivotCacheDefinition21.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pivotCacheDefinition" Target="pivotCache/pivotCacheDefinition12.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openxmlformats.org/officeDocument/2006/relationships/pivotCacheDefinition" Target="pivotCache/pivotCacheDefinition15.xml"/><Relationship Id="rId37" Type="http://schemas.openxmlformats.org/officeDocument/2006/relationships/pivotCacheDefinition" Target="pivotCache/pivotCacheDefinition20.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ivotCacheDefinition" Target="pivotCache/pivotCacheDefinition11.xml"/><Relationship Id="rId36" Type="http://schemas.openxmlformats.org/officeDocument/2006/relationships/pivotCacheDefinition" Target="pivotCache/pivotCacheDefinition19.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pivotCacheDefinition" Target="pivotCache/pivotCacheDefinition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pivotCacheDefinition" Target="pivotCache/pivotCacheDefinition13.xml"/><Relationship Id="rId35" Type="http://schemas.openxmlformats.org/officeDocument/2006/relationships/pivotCacheDefinition" Target="pivotCache/pivotCacheDefinition18.xml"/><Relationship Id="rId43"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1155"/>
          <c:h val="0.84063265760750294"/>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'Area Data'!$C$15:$C$18</c:f>
              <c:numCache>
                <c:formatCode>#,##0</c:formatCode>
                <c:ptCount val="4"/>
                <c:pt idx="0">
                  <c:v>3888</c:v>
                </c:pt>
                <c:pt idx="1">
                  <c:v>2274</c:v>
                </c:pt>
                <c:pt idx="2">
                  <c:v>611</c:v>
                </c:pt>
                <c:pt idx="3">
                  <c:v>41</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'Area Data'!$D$15:$D$18</c:f>
              <c:numCache>
                <c:formatCode>0%</c:formatCode>
                <c:ptCount val="4"/>
                <c:pt idx="0">
                  <c:v>0.74043039421062651</c:v>
                </c:pt>
                <c:pt idx="1">
                  <c:v>0.43306036945343745</c:v>
                </c:pt>
                <c:pt idx="2">
                  <c:v>0.11635878880213292</c:v>
                </c:pt>
                <c:pt idx="3">
                  <c:v>7.8080365644639113E-3</c:v>
                </c:pt>
              </c:numCache>
            </c:numRef>
          </c:val>
        </c:ser>
        <c:dLbls>
          <c:showLegendKey val="0"/>
          <c:showVal val="1"/>
          <c:showCatName val="0"/>
          <c:showSerName val="0"/>
          <c:showPercent val="0"/>
          <c:showBubbleSize val="0"/>
        </c:dLbls>
        <c:gapWidth val="150"/>
        <c:axId val="140754944"/>
        <c:axId val="140756480"/>
      </c:barChart>
      <c:catAx>
        <c:axId val="140754944"/>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40756480"/>
        <c:crosses val="autoZero"/>
        <c:auto val="1"/>
        <c:lblAlgn val="ctr"/>
        <c:lblOffset val="100"/>
        <c:noMultiLvlLbl val="0"/>
      </c:catAx>
      <c:valAx>
        <c:axId val="140756480"/>
        <c:scaling>
          <c:orientation val="minMax"/>
        </c:scaling>
        <c:delete val="0"/>
        <c:axPos val="b"/>
        <c:majorGridlines/>
        <c:numFmt formatCode="#,##0" sourceLinked="1"/>
        <c:majorTickMark val="out"/>
        <c:minorTickMark val="none"/>
        <c:tickLblPos val="nextTo"/>
        <c:crossAx val="140754944"/>
        <c:crosses val="autoZero"/>
        <c:crossBetween val="between"/>
        <c:majorUnit val="5000"/>
      </c:valAx>
    </c:plotArea>
    <c:plotVisOnly val="1"/>
    <c:dispBlanksAs val="gap"/>
    <c:showDLblsOverMax val="0"/>
  </c:chart>
  <c:spPr>
    <a:ln>
      <a:noFill/>
    </a:ln>
  </c:spPr>
  <c:printSettings>
    <c:headerFooter/>
    <c:pageMargins b="0.75000000000001232" l="0.70000000000000062" r="0.70000000000000062" t="0.7500000000000123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overlay val="0"/>
    </c:title>
    <c:autoTitleDeleted val="0"/>
    <c:plotArea>
      <c:layout>
        <c:manualLayout>
          <c:layoutTarget val="inner"/>
          <c:xMode val="edge"/>
          <c:yMode val="edge"/>
          <c:x val="0.15263960815742625"/>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Data'!$B$19:$B$22</c:f>
              <c:strCache>
                <c:ptCount val="4"/>
                <c:pt idx="0">
                  <c:v>Program Participants</c:v>
                </c:pt>
                <c:pt idx="1">
                  <c:v>WIA Participants</c:v>
                </c:pt>
                <c:pt idx="2">
                  <c:v>New WIA Participants</c:v>
                </c:pt>
                <c:pt idx="3">
                  <c:v>WIA Exiters</c:v>
                </c:pt>
              </c:strCache>
            </c:strRef>
          </c:cat>
          <c:val>
            <c:numRef>
              <c:f>'Area Data'!$D$20:$D$23</c:f>
              <c:numCache>
                <c:formatCode>#,##0</c:formatCode>
                <c:ptCount val="4"/>
                <c:pt idx="0">
                  <c:v>895</c:v>
                </c:pt>
                <c:pt idx="1">
                  <c:v>588</c:v>
                </c:pt>
                <c:pt idx="2">
                  <c:v>132</c:v>
                </c:pt>
                <c:pt idx="3">
                  <c:v>168</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Data'!$B$19:$B$22</c:f>
              <c:strCache>
                <c:ptCount val="4"/>
                <c:pt idx="0">
                  <c:v>Program Participants</c:v>
                </c:pt>
                <c:pt idx="1">
                  <c:v>WIA Participants</c:v>
                </c:pt>
                <c:pt idx="2">
                  <c:v>New WIA Participants</c:v>
                </c:pt>
                <c:pt idx="3">
                  <c:v>WIA Exiters</c:v>
                </c:pt>
              </c:strCache>
            </c:strRef>
          </c:cat>
          <c:val>
            <c:numRef>
              <c:f>'Area Data'!$C$20:$C$23</c:f>
              <c:numCache>
                <c:formatCode>#,##0</c:formatCode>
                <c:ptCount val="4"/>
                <c:pt idx="0">
                  <c:v>638</c:v>
                </c:pt>
                <c:pt idx="1">
                  <c:v>428</c:v>
                </c:pt>
                <c:pt idx="2">
                  <c:v>91</c:v>
                </c:pt>
                <c:pt idx="3">
                  <c:v>91</c:v>
                </c:pt>
              </c:numCache>
            </c:numRef>
          </c:val>
        </c:ser>
        <c:dLbls>
          <c:showLegendKey val="0"/>
          <c:showVal val="1"/>
          <c:showCatName val="0"/>
          <c:showSerName val="0"/>
          <c:showPercent val="0"/>
          <c:showBubbleSize val="0"/>
        </c:dLbls>
        <c:gapWidth val="150"/>
        <c:axId val="131291008"/>
        <c:axId val="131292544"/>
      </c:barChart>
      <c:catAx>
        <c:axId val="131291008"/>
        <c:scaling>
          <c:orientation val="minMax"/>
        </c:scaling>
        <c:delete val="0"/>
        <c:axPos val="b"/>
        <c:numFmt formatCode="General" sourceLinked="1"/>
        <c:majorTickMark val="out"/>
        <c:minorTickMark val="none"/>
        <c:tickLblPos val="nextTo"/>
        <c:txPr>
          <a:bodyPr/>
          <a:lstStyle/>
          <a:p>
            <a:pPr>
              <a:defRPr b="1"/>
            </a:pPr>
            <a:endParaRPr lang="en-US"/>
          </a:p>
        </c:txPr>
        <c:crossAx val="131292544"/>
        <c:crosses val="autoZero"/>
        <c:auto val="1"/>
        <c:lblAlgn val="ctr"/>
        <c:lblOffset val="100"/>
        <c:noMultiLvlLbl val="0"/>
      </c:catAx>
      <c:valAx>
        <c:axId val="131292544"/>
        <c:scaling>
          <c:orientation val="minMax"/>
        </c:scaling>
        <c:delete val="0"/>
        <c:axPos val="l"/>
        <c:majorGridlines/>
        <c:numFmt formatCode="#,##0" sourceLinked="1"/>
        <c:majorTickMark val="out"/>
        <c:minorTickMark val="none"/>
        <c:tickLblPos val="nextTo"/>
        <c:txPr>
          <a:bodyPr/>
          <a:lstStyle/>
          <a:p>
            <a:pPr>
              <a:defRPr b="0"/>
            </a:pPr>
            <a:endParaRPr lang="en-US"/>
          </a:p>
        </c:txPr>
        <c:crossAx val="131291008"/>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overlay val="0"/>
    </c:title>
    <c:autoTitleDeleted val="0"/>
    <c:plotArea>
      <c:layout>
        <c:manualLayout>
          <c:layoutTarget val="inner"/>
          <c:xMode val="edge"/>
          <c:yMode val="edge"/>
          <c:x val="0.1116752599927559"/>
          <c:y val="0.25120719578635975"/>
          <c:w val="0.62289599998446465"/>
          <c:h val="0.59506376299782371"/>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Data'!$B$25:$B$26</c:f>
              <c:strCache>
                <c:ptCount val="2"/>
                <c:pt idx="0">
                  <c:v>WA Job Openings</c:v>
                </c:pt>
                <c:pt idx="1">
                  <c:v>Employers Served</c:v>
                </c:pt>
              </c:strCache>
            </c:strRef>
          </c:cat>
          <c:val>
            <c:numRef>
              <c:f>'Area Data'!$D$25:$D$26</c:f>
              <c:numCache>
                <c:formatCode>#,##0</c:formatCode>
                <c:ptCount val="2"/>
                <c:pt idx="0">
                  <c:v>1018</c:v>
                </c:pt>
                <c:pt idx="1">
                  <c:v>638</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Data'!$B$25:$B$26</c:f>
              <c:strCache>
                <c:ptCount val="2"/>
                <c:pt idx="0">
                  <c:v>WA Job Openings</c:v>
                </c:pt>
                <c:pt idx="1">
                  <c:v>Employers Served</c:v>
                </c:pt>
              </c:strCache>
            </c:strRef>
          </c:cat>
          <c:val>
            <c:numRef>
              <c:f>'Area Data'!$C$25:$C$26</c:f>
              <c:numCache>
                <c:formatCode>#,##0</c:formatCode>
                <c:ptCount val="2"/>
                <c:pt idx="0">
                  <c:v>552</c:v>
                </c:pt>
                <c:pt idx="1">
                  <c:v>421</c:v>
                </c:pt>
              </c:numCache>
            </c:numRef>
          </c:val>
        </c:ser>
        <c:dLbls>
          <c:showLegendKey val="0"/>
          <c:showVal val="1"/>
          <c:showCatName val="0"/>
          <c:showSerName val="0"/>
          <c:showPercent val="0"/>
          <c:showBubbleSize val="0"/>
        </c:dLbls>
        <c:gapWidth val="150"/>
        <c:axId val="140329728"/>
        <c:axId val="140331264"/>
      </c:barChart>
      <c:catAx>
        <c:axId val="140329728"/>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40331264"/>
        <c:crosses val="autoZero"/>
        <c:auto val="1"/>
        <c:lblAlgn val="ctr"/>
        <c:lblOffset val="100"/>
        <c:noMultiLvlLbl val="0"/>
      </c:catAx>
      <c:valAx>
        <c:axId val="140331264"/>
        <c:scaling>
          <c:orientation val="minMax"/>
        </c:scaling>
        <c:delete val="0"/>
        <c:axPos val="l"/>
        <c:majorGridlines/>
        <c:numFmt formatCode="#,##0" sourceLinked="1"/>
        <c:majorTickMark val="out"/>
        <c:minorTickMark val="none"/>
        <c:tickLblPos val="nextTo"/>
        <c:txPr>
          <a:bodyPr/>
          <a:lstStyle/>
          <a:p>
            <a:pPr>
              <a:defRPr b="0"/>
            </a:pPr>
            <a:endParaRPr lang="en-US"/>
          </a:p>
        </c:txPr>
        <c:crossAx val="140329728"/>
        <c:crosses val="autoZero"/>
        <c:crossBetween val="between"/>
      </c:valAx>
    </c:plotArea>
    <c:legend>
      <c:legendPos val="t"/>
      <c:overlay val="0"/>
      <c:txPr>
        <a:bodyPr/>
        <a:lstStyle/>
        <a:p>
          <a:pPr>
            <a:defRPr sz="1300"/>
          </a:pPr>
          <a:endParaRPr lang="en-US"/>
        </a:p>
      </c:txPr>
    </c:legend>
    <c:plotVisOnly val="1"/>
    <c:dispBlanksAs val="gap"/>
    <c:showDLblsOverMax val="0"/>
  </c:chart>
  <c:printSettings>
    <c:headerFooter/>
    <c:pageMargins b="0.75000000000001221" l="0.70000000000000062" r="0.70000000000000062" t="0.750000000000012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overlay val="0"/>
    </c:title>
    <c:autoTitleDeleted val="0"/>
    <c:plotArea>
      <c:layout>
        <c:manualLayout>
          <c:layoutTarget val="inner"/>
          <c:xMode val="edge"/>
          <c:yMode val="edge"/>
          <c:x val="0.45612107658140366"/>
          <c:y val="0.5567038908041817"/>
          <c:w val="0.46822811349765037"/>
          <c:h val="0.33377423632777398"/>
        </c:manualLayout>
      </c:layout>
      <c:barChart>
        <c:barDir val="bar"/>
        <c:grouping val="clustered"/>
        <c:varyColors val="0"/>
        <c:ser>
          <c:idx val="1"/>
          <c:order val="0"/>
          <c:tx>
            <c:strRef>
              <c:f>'Area Data'!$C$28</c:f>
              <c:strCache>
                <c:ptCount val="1"/>
                <c:pt idx="0">
                  <c:v>Currrent Qtr</c:v>
                </c:pt>
              </c:strCache>
            </c:strRef>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'Area Data'!$B$29:$B$30</c:f>
              <c:strCache>
                <c:ptCount val="2"/>
                <c:pt idx="0">
                  <c:v>% of Job Orders in Top 5 Industries</c:v>
                </c:pt>
                <c:pt idx="1">
                  <c:v>Job Order Fill Rate</c:v>
                </c:pt>
              </c:strCache>
            </c:strRef>
          </c:cat>
          <c:val>
            <c:numRef>
              <c:f>'Area Data'!$C$29:$C$30</c:f>
              <c:numCache>
                <c:formatCode>0%</c:formatCode>
                <c:ptCount val="2"/>
                <c:pt idx="0">
                  <c:v>0.53128991060025543</c:v>
                </c:pt>
                <c:pt idx="1">
                  <c:v>0.49818840579710144</c:v>
                </c:pt>
              </c:numCache>
            </c:numRef>
          </c:val>
        </c:ser>
        <c:ser>
          <c:idx val="0"/>
          <c:order val="1"/>
          <c:tx>
            <c:strRef>
              <c:f>'Area Data'!$D$28</c:f>
              <c:strCache>
                <c:ptCount val="1"/>
                <c:pt idx="0">
                  <c:v>Last Year</c:v>
                </c:pt>
              </c:strCache>
            </c:strRef>
          </c:tx>
          <c:spPr>
            <a:solidFill>
              <a:schemeClr val="lt1"/>
            </a:solidFill>
            <a:ln w="38100" cap="flat" cmpd="sng" algn="ctr">
              <a:solidFill>
                <a:schemeClr val="accent1"/>
              </a:solidFill>
              <a:prstDash val="solid"/>
            </a:ln>
            <a:effectLst/>
          </c:spPr>
          <c:invertIfNegative val="0"/>
          <c:dLbls>
            <c:delete val="1"/>
          </c:dLbls>
          <c:cat>
            <c:strRef>
              <c:f>'Area Data'!$B$29:$B$30</c:f>
              <c:strCache>
                <c:ptCount val="2"/>
                <c:pt idx="0">
                  <c:v>% of Job Orders in Top 5 Industries</c:v>
                </c:pt>
                <c:pt idx="1">
                  <c:v>Job Order Fill Rate</c:v>
                </c:pt>
              </c:strCache>
            </c:strRef>
          </c:cat>
          <c:val>
            <c:numRef>
              <c:f>'Area Data'!$D$29:$D$30</c:f>
              <c:numCache>
                <c:formatCode>0%</c:formatCode>
                <c:ptCount val="2"/>
                <c:pt idx="0">
                  <c:v>0.50255885363357211</c:v>
                </c:pt>
                <c:pt idx="1">
                  <c:v>0.53438113948919452</c:v>
                </c:pt>
              </c:numCache>
            </c:numRef>
          </c:val>
        </c:ser>
        <c:dLbls>
          <c:showLegendKey val="0"/>
          <c:showVal val="1"/>
          <c:showCatName val="0"/>
          <c:showSerName val="0"/>
          <c:showPercent val="0"/>
          <c:showBubbleSize val="0"/>
        </c:dLbls>
        <c:gapWidth val="150"/>
        <c:axId val="140340608"/>
        <c:axId val="140358784"/>
      </c:barChart>
      <c:catAx>
        <c:axId val="140340608"/>
        <c:scaling>
          <c:orientation val="minMax"/>
        </c:scaling>
        <c:delete val="0"/>
        <c:axPos val="l"/>
        <c:majorTickMark val="out"/>
        <c:minorTickMark val="none"/>
        <c:tickLblPos val="nextTo"/>
        <c:txPr>
          <a:bodyPr/>
          <a:lstStyle/>
          <a:p>
            <a:pPr>
              <a:defRPr sz="1100" b="1"/>
            </a:pPr>
            <a:endParaRPr lang="en-US"/>
          </a:p>
        </c:txPr>
        <c:crossAx val="140358784"/>
        <c:crosses val="autoZero"/>
        <c:auto val="1"/>
        <c:lblAlgn val="ctr"/>
        <c:lblOffset val="100"/>
        <c:noMultiLvlLbl val="0"/>
      </c:catAx>
      <c:valAx>
        <c:axId val="140358784"/>
        <c:scaling>
          <c:orientation val="minMax"/>
        </c:scaling>
        <c:delete val="0"/>
        <c:axPos val="b"/>
        <c:majorGridlines/>
        <c:numFmt formatCode="0%" sourceLinked="1"/>
        <c:majorTickMark val="out"/>
        <c:minorTickMark val="none"/>
        <c:tickLblPos val="nextTo"/>
        <c:crossAx val="140340608"/>
        <c:crosses val="autoZero"/>
        <c:crossBetween val="between"/>
        <c:majorUnit val="0.25"/>
      </c:valAx>
    </c:plotArea>
    <c:legend>
      <c:legendPos val="t"/>
      <c:overlay val="0"/>
      <c:txPr>
        <a:bodyPr/>
        <a:lstStyle/>
        <a:p>
          <a:pPr>
            <a:defRPr sz="1300"/>
          </a:pPr>
          <a:endParaRPr lang="en-US"/>
        </a:p>
      </c:txPr>
    </c:legend>
    <c:plotVisOnly val="1"/>
    <c:dispBlanksAs val="gap"/>
    <c:showDLblsOverMax val="0"/>
  </c:chart>
  <c:printSettings>
    <c:headerFooter/>
    <c:pageMargins b="0.75000000000001243" l="0.70000000000000062" r="0.70000000000000062" t="0.7500000000000124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46497693705447091"/>
          <c:y val="0.13814755677210094"/>
          <c:w val="0.45639379397101987"/>
          <c:h val="0.58543139826641855"/>
        </c:manualLayout>
      </c:layout>
      <c:barChart>
        <c:barDir val="bar"/>
        <c:grouping val="clustered"/>
        <c:varyColors val="0"/>
        <c:ser>
          <c:idx val="1"/>
          <c:order val="0"/>
          <c:tx>
            <c:strRef>
              <c:f>'Area Data'!$C$28</c:f>
              <c:strCache>
                <c:ptCount val="1"/>
                <c:pt idx="0">
                  <c:v>Currrent Qtr</c:v>
                </c:pt>
              </c:strCache>
            </c:strRef>
          </c:tx>
          <c:spPr>
            <a:solidFill>
              <a:schemeClr val="lt1"/>
            </a:solidFill>
            <a:ln w="25400" cap="flat" cmpd="sng" algn="ctr">
              <a:solidFill>
                <a:schemeClr val="accent3"/>
              </a:solidFill>
              <a:prstDash val="solid"/>
            </a:ln>
            <a:effectLst/>
          </c:spPr>
          <c:invertIfNegative val="0"/>
          <c:dLbls>
            <c:dLbl>
              <c:idx val="0"/>
              <c:spPr>
                <a:solidFill>
                  <a:schemeClr val="lt1"/>
                </a:solidFill>
                <a:ln w="25400" cap="flat" cmpd="sng" algn="ctr">
                  <a:noFill/>
                  <a:prstDash val="solid"/>
                </a:ln>
                <a:effectLst/>
              </c:spPr>
              <c:txPr>
                <a:bodyPr/>
                <a:lstStyle/>
                <a:p>
                  <a:pPr>
                    <a:defRPr b="1">
                      <a:solidFill>
                        <a:schemeClr val="dk1"/>
                      </a:solidFill>
                      <a:latin typeface="+mn-lt"/>
                      <a:ea typeface="+mn-ea"/>
                      <a:cs typeface="+mn-cs"/>
                    </a:defRPr>
                  </a:pPr>
                  <a:endParaRPr lang="en-US"/>
                </a:p>
              </c:txPr>
              <c:showLegendKey val="0"/>
              <c:showVal val="1"/>
              <c:showCatName val="0"/>
              <c:showSerName val="0"/>
              <c:showPercent val="0"/>
              <c:showBubbleSize val="0"/>
            </c:dLbl>
            <c:spPr>
              <a:ln>
                <a:noFill/>
              </a:ln>
            </c:spPr>
            <c:txPr>
              <a:bodyPr/>
              <a:lstStyle/>
              <a:p>
                <a:pPr>
                  <a:defRPr sz="1100" b="1"/>
                </a:pPr>
                <a:endParaRPr lang="en-US"/>
              </a:p>
            </c:txPr>
            <c:showLegendKey val="0"/>
            <c:showVal val="1"/>
            <c:showCatName val="0"/>
            <c:showSerName val="0"/>
            <c:showPercent val="0"/>
            <c:showBubbleSize val="0"/>
            <c:showLeaderLines val="0"/>
          </c:dLbls>
          <c:cat>
            <c:strRef>
              <c:f>'Area Data'!$B$31</c:f>
              <c:strCache>
                <c:ptCount val="1"/>
                <c:pt idx="0">
                  <c:v>Average Job Order Wage</c:v>
                </c:pt>
              </c:strCache>
            </c:strRef>
          </c:cat>
          <c:val>
            <c:numRef>
              <c:f>'Area Data'!$C$31</c:f>
              <c:numCache>
                <c:formatCode>"$"#,##0.00</c:formatCode>
                <c:ptCount val="1"/>
                <c:pt idx="0">
                  <c:v>11.987848101264852</c:v>
                </c:pt>
              </c:numCache>
            </c:numRef>
          </c:val>
        </c:ser>
        <c:ser>
          <c:idx val="0"/>
          <c:order val="1"/>
          <c:tx>
            <c:strRef>
              <c:f>'Area Data'!$D$28</c:f>
              <c:strCache>
                <c:ptCount val="1"/>
                <c:pt idx="0">
                  <c:v>Last Year</c:v>
                </c:pt>
              </c:strCache>
            </c:strRef>
          </c:tx>
          <c:spPr>
            <a:solidFill>
              <a:schemeClr val="lt1"/>
            </a:solidFill>
            <a:ln w="38100" cap="flat" cmpd="sng" algn="ctr">
              <a:solidFill>
                <a:schemeClr val="accent1"/>
              </a:solidFill>
              <a:prstDash val="solid"/>
            </a:ln>
            <a:effectLst/>
          </c:spPr>
          <c:invertIfNegative val="0"/>
          <c:cat>
            <c:strRef>
              <c:f>'Area Data'!$B$31</c:f>
              <c:strCache>
                <c:ptCount val="1"/>
                <c:pt idx="0">
                  <c:v>Average Job Order Wage</c:v>
                </c:pt>
              </c:strCache>
            </c:strRef>
          </c:cat>
          <c:val>
            <c:numRef>
              <c:f>'Area Data'!$D$31</c:f>
              <c:numCache>
                <c:formatCode>"$"#,##0.00</c:formatCode>
                <c:ptCount val="1"/>
                <c:pt idx="0">
                  <c:v>13.570255474451312</c:v>
                </c:pt>
              </c:numCache>
            </c:numRef>
          </c:val>
        </c:ser>
        <c:dLbls>
          <c:showLegendKey val="0"/>
          <c:showVal val="1"/>
          <c:showCatName val="0"/>
          <c:showSerName val="0"/>
          <c:showPercent val="0"/>
          <c:showBubbleSize val="0"/>
        </c:dLbls>
        <c:gapWidth val="110"/>
        <c:overlap val="-40"/>
        <c:axId val="141544832"/>
        <c:axId val="141554816"/>
      </c:barChart>
      <c:catAx>
        <c:axId val="141544832"/>
        <c:scaling>
          <c:orientation val="minMax"/>
        </c:scaling>
        <c:delete val="0"/>
        <c:axPos val="l"/>
        <c:majorTickMark val="out"/>
        <c:minorTickMark val="none"/>
        <c:tickLblPos val="nextTo"/>
        <c:txPr>
          <a:bodyPr/>
          <a:lstStyle/>
          <a:p>
            <a:pPr>
              <a:defRPr sz="1100" b="1"/>
            </a:pPr>
            <a:endParaRPr lang="en-US"/>
          </a:p>
        </c:txPr>
        <c:crossAx val="141554816"/>
        <c:crosses val="autoZero"/>
        <c:auto val="1"/>
        <c:lblAlgn val="ctr"/>
        <c:lblOffset val="100"/>
        <c:noMultiLvlLbl val="0"/>
      </c:catAx>
      <c:valAx>
        <c:axId val="141554816"/>
        <c:scaling>
          <c:orientation val="minMax"/>
          <c:min val="0"/>
        </c:scaling>
        <c:delete val="0"/>
        <c:axPos val="b"/>
        <c:majorGridlines/>
        <c:numFmt formatCode="&quot;$&quot;#,##0" sourceLinked="0"/>
        <c:majorTickMark val="out"/>
        <c:minorTickMark val="none"/>
        <c:tickLblPos val="nextTo"/>
        <c:crossAx val="141544832"/>
        <c:crosses val="autoZero"/>
        <c:crossBetween val="between"/>
      </c:valAx>
    </c:plotArea>
    <c:plotVisOnly val="1"/>
    <c:dispBlanksAs val="gap"/>
    <c:showDLblsOverMax val="0"/>
  </c:chart>
  <c:spPr>
    <a:ln>
      <a:noFill/>
    </a:ln>
  </c:spPr>
  <c:printSettings>
    <c:headerFooter/>
    <c:pageMargins b="0.75000000000001243" l="0.70000000000000062" r="0.70000000000000062" t="0.7500000000000124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a:pPr>
            <a:r>
              <a:rPr lang="en-US"/>
              <a:t>Labor Market, Apr 2010 - Mar 2011</a:t>
            </a:r>
          </a:p>
        </c:rich>
      </c:tx>
      <c:overlay val="0"/>
    </c:title>
    <c:autoTitleDeleted val="0"/>
    <c:plotArea>
      <c:layout>
        <c:manualLayout>
          <c:layoutTarget val="inner"/>
          <c:xMode val="edge"/>
          <c:yMode val="edge"/>
          <c:x val="0.15424642327585344"/>
          <c:y val="0.15513094761459903"/>
          <c:w val="0.74978153356253563"/>
          <c:h val="0.59216462348986043"/>
        </c:manualLayout>
      </c:layout>
      <c:barChart>
        <c:barDir val="col"/>
        <c:grouping val="clustered"/>
        <c:varyColors val="0"/>
        <c:ser>
          <c:idx val="1"/>
          <c:order val="1"/>
          <c:tx>
            <c:v>Employed</c:v>
          </c:tx>
          <c:invertIfNegative val="0"/>
          <c:val>
            <c:numRef>
              <c:f>'Area Data'!$G$21:$J$21</c:f>
              <c:numCache>
                <c:formatCode>#,##0</c:formatCode>
                <c:ptCount val="4"/>
                <c:pt idx="0">
                  <c:v>154503</c:v>
                </c:pt>
                <c:pt idx="1">
                  <c:v>153883</c:v>
                </c:pt>
                <c:pt idx="2">
                  <c:v>154707</c:v>
                </c:pt>
                <c:pt idx="3">
                  <c:v>151840</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'Area Data'!$G$23:$J$23</c:f>
              <c:numCache>
                <c:formatCode>#,##0</c:formatCode>
                <c:ptCount val="4"/>
                <c:pt idx="0">
                  <c:v>168543</c:v>
                </c:pt>
                <c:pt idx="1">
                  <c:v>167310</c:v>
                </c:pt>
                <c:pt idx="2">
                  <c:v>167893</c:v>
                </c:pt>
                <c:pt idx="3">
                  <c:v>166703</c:v>
                </c:pt>
              </c:numCache>
            </c:numRef>
          </c:val>
        </c:ser>
        <c:dLbls>
          <c:showLegendKey val="0"/>
          <c:showVal val="0"/>
          <c:showCatName val="0"/>
          <c:showSerName val="0"/>
          <c:showPercent val="0"/>
          <c:showBubbleSize val="0"/>
        </c:dLbls>
        <c:gapWidth val="150"/>
        <c:axId val="140863360"/>
        <c:axId val="140861824"/>
      </c:barChart>
      <c:lineChart>
        <c:grouping val="standard"/>
        <c:varyColors val="0"/>
        <c:ser>
          <c:idx val="10"/>
          <c:order val="0"/>
          <c:tx>
            <c:strRef>
              <c:f>'Area Data'!$F$24</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Data'!$G$20:$J$20</c:f>
              <c:strCache>
                <c:ptCount val="4"/>
                <c:pt idx="0">
                  <c:v>PY09 Q4</c:v>
                </c:pt>
                <c:pt idx="1">
                  <c:v>PY10 Q1</c:v>
                </c:pt>
                <c:pt idx="2">
                  <c:v>PY10 Q2</c:v>
                </c:pt>
                <c:pt idx="3">
                  <c:v>PY10 Q3</c:v>
                </c:pt>
              </c:strCache>
            </c:strRef>
          </c:cat>
          <c:val>
            <c:numRef>
              <c:f>'Area Data'!$G$24:$J$24</c:f>
              <c:numCache>
                <c:formatCode>0.0%</c:formatCode>
                <c:ptCount val="4"/>
                <c:pt idx="0">
                  <c:v>8.3302184012388536E-2</c:v>
                </c:pt>
                <c:pt idx="1">
                  <c:v>8.025222640607256E-2</c:v>
                </c:pt>
                <c:pt idx="2">
                  <c:v>7.8544072712977905E-2</c:v>
                </c:pt>
                <c:pt idx="3">
                  <c:v>8.9158563433171564E-2</c:v>
                </c:pt>
              </c:numCache>
            </c:numRef>
          </c:val>
          <c:smooth val="0"/>
        </c:ser>
        <c:dLbls>
          <c:showLegendKey val="0"/>
          <c:showVal val="0"/>
          <c:showCatName val="0"/>
          <c:showSerName val="0"/>
          <c:showPercent val="0"/>
          <c:showBubbleSize val="0"/>
        </c:dLbls>
        <c:marker val="1"/>
        <c:smooth val="0"/>
        <c:axId val="140846208"/>
        <c:axId val="140847744"/>
      </c:lineChart>
      <c:catAx>
        <c:axId val="140846208"/>
        <c:scaling>
          <c:orientation val="minMax"/>
        </c:scaling>
        <c:delete val="0"/>
        <c:axPos val="b"/>
        <c:numFmt formatCode="0.00%" sourceLinked="1"/>
        <c:majorTickMark val="out"/>
        <c:minorTickMark val="none"/>
        <c:tickLblPos val="nextTo"/>
        <c:txPr>
          <a:bodyPr/>
          <a:lstStyle/>
          <a:p>
            <a:pPr>
              <a:defRPr sz="1400"/>
            </a:pPr>
            <a:endParaRPr lang="en-US"/>
          </a:p>
        </c:txPr>
        <c:crossAx val="140847744"/>
        <c:crosses val="autoZero"/>
        <c:auto val="1"/>
        <c:lblAlgn val="ctr"/>
        <c:lblOffset val="100"/>
        <c:noMultiLvlLbl val="0"/>
      </c:catAx>
      <c:valAx>
        <c:axId val="140847744"/>
        <c:scaling>
          <c:orientation val="minMax"/>
          <c:min val="0"/>
        </c:scaling>
        <c:delete val="0"/>
        <c:axPos val="l"/>
        <c:majorGridlines/>
        <c:numFmt formatCode="0%" sourceLinked="0"/>
        <c:majorTickMark val="out"/>
        <c:minorTickMark val="none"/>
        <c:tickLblPos val="nextTo"/>
        <c:txPr>
          <a:bodyPr/>
          <a:lstStyle/>
          <a:p>
            <a:pPr>
              <a:defRPr sz="1400"/>
            </a:pPr>
            <a:endParaRPr lang="en-US"/>
          </a:p>
        </c:txPr>
        <c:crossAx val="140846208"/>
        <c:crosses val="autoZero"/>
        <c:crossBetween val="between"/>
      </c:valAx>
      <c:valAx>
        <c:axId val="140861824"/>
        <c:scaling>
          <c:orientation val="minMax"/>
          <c:min val="0"/>
        </c:scaling>
        <c:delete val="0"/>
        <c:axPos val="r"/>
        <c:numFmt formatCode="#,##0" sourceLinked="1"/>
        <c:majorTickMark val="out"/>
        <c:minorTickMark val="none"/>
        <c:tickLblPos val="nextTo"/>
        <c:txPr>
          <a:bodyPr/>
          <a:lstStyle/>
          <a:p>
            <a:pPr>
              <a:defRPr sz="1200"/>
            </a:pPr>
            <a:endParaRPr lang="en-US"/>
          </a:p>
        </c:txPr>
        <c:crossAx val="140863360"/>
        <c:crosses val="max"/>
        <c:crossBetween val="between"/>
      </c:valAx>
      <c:catAx>
        <c:axId val="140863360"/>
        <c:scaling>
          <c:orientation val="minMax"/>
        </c:scaling>
        <c:delete val="1"/>
        <c:axPos val="b"/>
        <c:majorTickMark val="out"/>
        <c:minorTickMark val="none"/>
        <c:tickLblPos val="none"/>
        <c:crossAx val="140861824"/>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1243" l="0.70000000000000095" r="0.70000000000000095" t="0.75000000000001243"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400"/>
            </a:pPr>
            <a:r>
              <a:rPr lang="en-US"/>
              <a:t>All Customers Common Measures</a:t>
            </a:r>
          </a:p>
        </c:rich>
      </c:tx>
      <c:overlay val="0"/>
    </c:title>
    <c:autoTitleDeleted val="0"/>
    <c:plotArea>
      <c:layout>
        <c:manualLayout>
          <c:layoutTarget val="inner"/>
          <c:xMode val="edge"/>
          <c:yMode val="edge"/>
          <c:x val="0.10841219359030888"/>
          <c:y val="0.10722831150408671"/>
          <c:w val="0.7795612601227585"/>
          <c:h val="0.65017222427658417"/>
        </c:manualLayout>
      </c:layout>
      <c:barChart>
        <c:barDir val="col"/>
        <c:grouping val="clustered"/>
        <c:varyColors val="0"/>
        <c:ser>
          <c:idx val="0"/>
          <c:order val="0"/>
          <c:tx>
            <c:strRef>
              <c:f>'Common Measures'!$C$33</c:f>
              <c:strCache>
                <c:ptCount val="1"/>
                <c:pt idx="0">
                  <c:v>Actual</c:v>
                </c:pt>
              </c:strCache>
            </c:strRef>
          </c:tx>
          <c:spPr>
            <a:scene3d>
              <a:camera prst="orthographicFront"/>
              <a:lightRig rig="balanced" dir="t">
                <a:rot lat="0" lon="0" rev="8700000"/>
              </a:lightRig>
            </a:scene3d>
            <a:sp3d>
              <a:bevelT w="190500" h="38100"/>
            </a:sp3d>
          </c:spPr>
          <c:invertIfNegative val="0"/>
          <c:dPt>
            <c:idx val="1"/>
            <c:invertIfNegative val="0"/>
            <c:bubble3D val="0"/>
            <c:spPr>
              <a:solidFill>
                <a:srgbClr val="C0504D">
                  <a:lumMod val="75000"/>
                </a:srgbClr>
              </a:solidFill>
              <a:scene3d>
                <a:camera prst="orthographicFront"/>
                <a:lightRig rig="balanced" dir="t">
                  <a:rot lat="0" lon="0" rev="8700000"/>
                </a:lightRig>
              </a:scene3d>
              <a:sp3d>
                <a:bevelT w="190500" h="38100"/>
              </a:sp3d>
            </c:spPr>
          </c:dPt>
          <c:dLbls>
            <c:dLbl>
              <c:idx val="1"/>
              <c:numFmt formatCode="0%" sourceLinked="0"/>
              <c:spPr>
                <a:solidFill>
                  <a:sysClr val="window" lastClr="FFFFFF"/>
                </a:solidFill>
                <a:ln w="25400" cap="flat" cmpd="sng" algn="ctr">
                  <a:solidFill>
                    <a:srgbClr val="C0504D"/>
                  </a:solidFill>
                  <a:prstDash val="solid"/>
                </a:ln>
                <a:effectLst/>
              </c:spPr>
              <c:txPr>
                <a:bodyPr/>
                <a:lstStyle/>
                <a:p>
                  <a:pPr>
                    <a:defRPr sz="240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0.5</c:v>
                </c:pt>
                <c:pt idx="1">
                  <c:v>0.78</c:v>
                </c:pt>
              </c:numCache>
            </c:numRef>
          </c:val>
        </c:ser>
        <c:dLbls>
          <c:showLegendKey val="0"/>
          <c:showVal val="0"/>
          <c:showCatName val="0"/>
          <c:showSerName val="0"/>
          <c:showPercent val="0"/>
          <c:showBubbleSize val="0"/>
        </c:dLbls>
        <c:gapWidth val="150"/>
        <c:axId val="140953088"/>
        <c:axId val="140954624"/>
      </c:barChart>
      <c:barChart>
        <c:barDir val="col"/>
        <c:grouping val="clustered"/>
        <c:varyColors val="0"/>
        <c:ser>
          <c:idx val="1"/>
          <c:order val="1"/>
          <c:tx>
            <c:strRef>
              <c:f>'Common Measures'!$D$33</c:f>
              <c:strCache>
                <c:ptCount val="1"/>
                <c:pt idx="0">
                  <c:v>Actual $</c:v>
                </c:pt>
              </c:strCache>
            </c:strRef>
          </c:tx>
          <c:spPr>
            <a:solidFill>
              <a:srgbClr val="9BBB59">
                <a:lumMod val="75000"/>
              </a:srgbClr>
            </a:solidFill>
            <a:scene3d>
              <a:camera prst="orthographicFront"/>
              <a:lightRig rig="balanced" dir="t">
                <a:rot lat="0" lon="0" rev="8700000"/>
              </a:lightRig>
            </a:scene3d>
            <a:sp3d>
              <a:bevelT w="190500" h="38100"/>
            </a:sp3d>
          </c:spPr>
          <c:invertIfNegative val="0"/>
          <c:dLbls>
            <c:spPr>
              <a:solidFill>
                <a:sysClr val="window" lastClr="FFFFFF"/>
              </a:solidFill>
              <a:ln w="25400" cap="flat" cmpd="sng" algn="ctr">
                <a:solidFill>
                  <a:srgbClr val="9BBB59"/>
                </a:solidFill>
                <a:prstDash val="solid"/>
              </a:ln>
              <a:effectLst/>
            </c:spPr>
            <c:txPr>
              <a:bodyPr/>
              <a:lstStyle/>
              <a:p>
                <a:pPr>
                  <a:defRPr sz="240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13751</c:v>
                </c:pt>
              </c:numCache>
            </c:numRef>
          </c:val>
        </c:ser>
        <c:dLbls>
          <c:showLegendKey val="0"/>
          <c:showVal val="0"/>
          <c:showCatName val="0"/>
          <c:showSerName val="0"/>
          <c:showPercent val="0"/>
          <c:showBubbleSize val="0"/>
        </c:dLbls>
        <c:gapWidth val="150"/>
        <c:axId val="140966144"/>
        <c:axId val="140964608"/>
      </c:barChart>
      <c:scatterChart>
        <c:scatterStyle val="lineMarker"/>
        <c:varyColors val="0"/>
        <c:ser>
          <c:idx val="2"/>
          <c:order val="2"/>
          <c:tx>
            <c:strRef>
              <c:f>'Common Measures'!$E$33</c:f>
              <c:strCache>
                <c:ptCount val="1"/>
                <c:pt idx="0">
                  <c:v>Target</c:v>
                </c:pt>
              </c:strCache>
            </c:strRef>
          </c:tx>
          <c:spPr>
            <a:ln w="66675">
              <a:noFill/>
            </a:ln>
          </c:spPr>
          <c:marker>
            <c:symbol val="dash"/>
            <c:size val="20"/>
            <c:spPr>
              <a:solidFill>
                <a:sysClr val="windowText" lastClr="000000"/>
              </a:solidFill>
              <a:ln>
                <a:solidFill>
                  <a:sysClr val="windowText" lastClr="000000"/>
                </a:solidFill>
              </a:ln>
            </c:spPr>
          </c:marker>
          <c:dLbls>
            <c:dLbl>
              <c:idx val="0"/>
              <c:numFmt formatCode="0%" sourceLinked="0"/>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dLbl>
            <c:dLbl>
              <c:idx val="1"/>
              <c:numFmt formatCode="0.0%" sourceLinked="0"/>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dLbl>
            <c:numFmt formatCode="0%" sourceLinked="0"/>
            <c:spPr>
              <a:solidFill>
                <a:sysClr val="window" lastClr="FFFFFF"/>
              </a:solidFill>
              <a:ln w="25400" cap="flat" cmpd="sng" algn="ctr">
                <a:solidFill>
                  <a:sysClr val="windowText" lastClr="000000"/>
                </a:solidFill>
                <a:prstDash val="solid"/>
              </a:ln>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40953088"/>
        <c:axId val="140954624"/>
      </c:scatterChart>
      <c:scatterChart>
        <c:scatterStyle val="lineMarker"/>
        <c:varyColors val="0"/>
        <c:ser>
          <c:idx val="3"/>
          <c:order val="3"/>
          <c:tx>
            <c:strRef>
              <c:f>'Common Measures'!$F$33</c:f>
              <c:strCache>
                <c:ptCount val="1"/>
                <c:pt idx="0">
                  <c:v>Target $</c:v>
                </c:pt>
              </c:strCache>
            </c:strRef>
          </c:tx>
          <c:spPr>
            <a:ln w="66675">
              <a:solidFill>
                <a:sysClr val="windowText" lastClr="000000"/>
              </a:solidFill>
            </a:ln>
          </c:spPr>
          <c:marker>
            <c:symbol val="dash"/>
            <c:size val="20"/>
            <c:spPr>
              <a:solidFill>
                <a:sysClr val="windowText" lastClr="000000"/>
              </a:solidFill>
              <a:ln>
                <a:solidFill>
                  <a:sysClr val="windowText" lastClr="000000"/>
                </a:solidFill>
              </a:ln>
            </c:spPr>
          </c:marker>
          <c:dLbls>
            <c: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c:spPr>
            <c:txPr>
              <a:bodyPr/>
              <a:lstStyle/>
              <a:p>
                <a:pPr>
                  <a:defRPr sz="2400">
                    <a:solidFill>
                      <a:sysClr val="windowText" lastClr="000000"/>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40966144"/>
        <c:axId val="140964608"/>
      </c:scatterChart>
      <c:catAx>
        <c:axId val="140953088"/>
        <c:scaling>
          <c:orientation val="minMax"/>
        </c:scaling>
        <c:delete val="0"/>
        <c:axPos val="b"/>
        <c:majorTickMark val="out"/>
        <c:minorTickMark val="none"/>
        <c:tickLblPos val="nextTo"/>
        <c:txPr>
          <a:bodyPr/>
          <a:lstStyle/>
          <a:p>
            <a:pPr>
              <a:defRPr sz="2000"/>
            </a:pPr>
            <a:endParaRPr lang="en-US"/>
          </a:p>
        </c:txPr>
        <c:crossAx val="140954624"/>
        <c:crosses val="autoZero"/>
        <c:auto val="1"/>
        <c:lblAlgn val="ctr"/>
        <c:lblOffset val="100"/>
        <c:noMultiLvlLbl val="0"/>
      </c:catAx>
      <c:valAx>
        <c:axId val="140954624"/>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40953088"/>
        <c:crosses val="autoZero"/>
        <c:crossBetween val="between"/>
        <c:majorUnit val="0.25"/>
      </c:valAx>
      <c:valAx>
        <c:axId val="140964608"/>
        <c:scaling>
          <c:orientation val="minMax"/>
          <c:min val="0"/>
        </c:scaling>
        <c:delete val="0"/>
        <c:axPos val="r"/>
        <c:numFmt formatCode="&quot;$&quot;#,##0" sourceLinked="0"/>
        <c:majorTickMark val="out"/>
        <c:minorTickMark val="none"/>
        <c:tickLblPos val="nextTo"/>
        <c:txPr>
          <a:bodyPr/>
          <a:lstStyle/>
          <a:p>
            <a:pPr>
              <a:defRPr sz="1600"/>
            </a:pPr>
            <a:endParaRPr lang="en-US"/>
          </a:p>
        </c:txPr>
        <c:crossAx val="140966144"/>
        <c:crosses val="max"/>
        <c:crossBetween val="between"/>
      </c:valAx>
      <c:catAx>
        <c:axId val="140966144"/>
        <c:scaling>
          <c:orientation val="minMax"/>
        </c:scaling>
        <c:delete val="1"/>
        <c:axPos val="b"/>
        <c:majorTickMark val="out"/>
        <c:minorTickMark val="none"/>
        <c:tickLblPos val="none"/>
        <c:crossAx val="140964608"/>
        <c:crosses val="autoZero"/>
        <c:auto val="1"/>
        <c:lblAlgn val="ctr"/>
        <c:lblOffset val="100"/>
        <c:noMultiLvlLbl val="0"/>
      </c:catAx>
    </c:plotArea>
    <c:legend>
      <c:legendPos val="t"/>
      <c:legendEntry>
        <c:idx val="0"/>
        <c:delete val="1"/>
      </c:legendEntry>
      <c:legendEntry>
        <c:idx val="1"/>
        <c:delete val="1"/>
      </c:legendEntry>
      <c:legendEntry>
        <c:idx val="3"/>
        <c:delete val="1"/>
      </c:legendEntry>
      <c:layout>
        <c:manualLayout>
          <c:xMode val="edge"/>
          <c:yMode val="edge"/>
          <c:x val="0.13779641919787691"/>
          <c:y val="0.93485859657939796"/>
          <c:w val="0.71056491667669064"/>
          <c:h val="6.5040061348649064E-2"/>
        </c:manualLayout>
      </c:layout>
      <c:overlay val="0"/>
      <c:txPr>
        <a:bodyPr/>
        <a:lstStyle/>
        <a:p>
          <a:pPr>
            <a:defRPr sz="1800"/>
          </a:pPr>
          <a:endParaRPr lang="en-US"/>
        </a:p>
      </c:txPr>
    </c:legend>
    <c:plotVisOnly val="1"/>
    <c:dispBlanksAs val="gap"/>
    <c:showDLblsOverMax val="0"/>
  </c:chart>
  <c:printSettings>
    <c:headerFooter/>
    <c:pageMargins b="0.75000000000000955" l="0.70000000000000062" r="0.70000000000000062" t="0.7500000000000095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700"/>
              <a:t>All Customers Common Measures Over Time</a:t>
            </a:r>
          </a:p>
        </c:rich>
      </c:tx>
      <c:layout>
        <c:manualLayout>
          <c:xMode val="edge"/>
          <c:yMode val="edge"/>
          <c:x val="0.12903372533452417"/>
          <c:y val="1.1684922953114324E-2"/>
        </c:manualLayout>
      </c:layout>
      <c:overlay val="0"/>
    </c:title>
    <c:autoTitleDeleted val="0"/>
    <c:plotArea>
      <c:layout>
        <c:manualLayout>
          <c:layoutTarget val="inner"/>
          <c:xMode val="edge"/>
          <c:yMode val="edge"/>
          <c:x val="0.12548448199412823"/>
          <c:y val="0.16579372249620891"/>
          <c:w val="0.77393180834083131"/>
          <c:h val="0.5875968463699881"/>
        </c:manualLayout>
      </c:layout>
      <c:barChart>
        <c:barDir val="col"/>
        <c:grouping val="clustered"/>
        <c:varyColors val="0"/>
        <c:ser>
          <c:idx val="1"/>
          <c:order val="1"/>
          <c:tx>
            <c:strRef>
              <c:f>'Common Measures'!$D$69</c:f>
              <c:strCache>
                <c:ptCount val="1"/>
                <c:pt idx="0">
                  <c:v>Average Earnings</c:v>
                </c:pt>
              </c:strCache>
            </c:strRef>
          </c:tx>
          <c:spPr>
            <a:solidFill>
              <a:schemeClr val="accent3">
                <a:lumMod val="75000"/>
              </a:schemeClr>
            </a:solidFill>
            <a:scene3d>
              <a:camera prst="orthographicFront"/>
              <a:lightRig rig="threePt" dir="t"/>
            </a:scene3d>
            <a:sp3d>
              <a:bevelT/>
            </a:sp3d>
          </c:spPr>
          <c:invertIfNegative val="0"/>
          <c:dLbls>
            <c:dLbl>
              <c:idx val="5"/>
              <c:showLegendKey val="0"/>
              <c:showVal val="1"/>
              <c:showCatName val="0"/>
              <c:showSerName val="0"/>
              <c:showPercent val="0"/>
              <c:showBubbleSize val="0"/>
            </c:dLbl>
            <c:dLbl>
              <c:idx val="11"/>
              <c:showLegendKey val="0"/>
              <c:showVal val="1"/>
              <c:showCatName val="0"/>
              <c:showSerName val="0"/>
              <c:showPercent val="0"/>
              <c:showBubbleSize val="0"/>
            </c:dLbl>
            <c:numFmt formatCode="&quot;$&quot;#,##0" sourceLinked="0"/>
            <c:spPr>
              <a:solidFill>
                <a:schemeClr val="lt1"/>
              </a:solidFill>
              <a:ln w="25400" cap="flat" cmpd="sng" algn="ctr">
                <a:solidFill>
                  <a:schemeClr val="accent3"/>
                </a:solidFill>
                <a:prstDash val="solid"/>
              </a:ln>
              <a:effectLst/>
            </c:spPr>
            <c:txPr>
              <a:bodyPr/>
              <a:lstStyle/>
              <a:p>
                <a:pPr>
                  <a:defRPr sz="1200" b="1">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Measures'!$C$142:$H$142</c:f>
              <c:numCache>
                <c:formatCode>"$"#,##0.00</c:formatCode>
                <c:ptCount val="6"/>
                <c:pt idx="0">
                  <c:v>13889</c:v>
                </c:pt>
                <c:pt idx="1">
                  <c:v>13691</c:v>
                </c:pt>
                <c:pt idx="2">
                  <c:v>13746</c:v>
                </c:pt>
                <c:pt idx="3">
                  <c:v>13805</c:v>
                </c:pt>
                <c:pt idx="4">
                  <c:v>13703</c:v>
                </c:pt>
                <c:pt idx="5">
                  <c:v>13751</c:v>
                </c:pt>
              </c:numCache>
            </c:numRef>
          </c:val>
        </c:ser>
        <c:dLbls>
          <c:showLegendKey val="0"/>
          <c:showVal val="0"/>
          <c:showCatName val="0"/>
          <c:showSerName val="0"/>
          <c:showPercent val="0"/>
          <c:showBubbleSize val="0"/>
        </c:dLbls>
        <c:gapWidth val="150"/>
        <c:axId val="141029376"/>
        <c:axId val="141019392"/>
      </c:barChart>
      <c:lineChart>
        <c:grouping val="standard"/>
        <c:varyColors val="0"/>
        <c:ser>
          <c:idx val="0"/>
          <c:order val="0"/>
          <c:tx>
            <c:strRef>
              <c:f>'Common Measures'!$C$69</c:f>
              <c:strCache>
                <c:ptCount val="1"/>
                <c:pt idx="0">
                  <c:v>Entered Employment</c:v>
                </c:pt>
              </c:strCache>
            </c:strRef>
          </c:tx>
          <c:spPr>
            <a:ln w="57150">
              <a:solidFill>
                <a:schemeClr val="accent1">
                  <a:lumMod val="75000"/>
                </a:schemeClr>
              </a:solidFill>
            </a:ln>
          </c:spPr>
          <c:marker>
            <c:symbol val="none"/>
          </c:marker>
          <c:dLbls>
            <c:dLbl>
              <c:idx val="5"/>
              <c:dLblPos val="b"/>
              <c:showLegendKey val="0"/>
              <c:showVal val="1"/>
              <c:showCatName val="0"/>
              <c:showSerName val="0"/>
              <c:showPercent val="0"/>
              <c:showBubbleSize val="0"/>
            </c:dLbl>
            <c:spPr>
              <a:solidFill>
                <a:schemeClr val="lt1"/>
              </a:solidFill>
              <a:ln w="25400" cap="flat" cmpd="sng" algn="ctr">
                <a:solidFill>
                  <a:schemeClr val="accent1"/>
                </a:solidFill>
                <a:prstDash val="solid"/>
              </a:ln>
              <a:effectLst/>
            </c:spPr>
            <c:txPr>
              <a:bodyPr/>
              <a:lstStyle/>
              <a:p>
                <a:pPr>
                  <a:defRPr sz="1200" b="1">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0.48</c:v>
                </c:pt>
                <c:pt idx="1">
                  <c:v>0.48</c:v>
                </c:pt>
                <c:pt idx="2">
                  <c:v>0.48</c:v>
                </c:pt>
                <c:pt idx="3">
                  <c:v>0.48</c:v>
                </c:pt>
                <c:pt idx="4">
                  <c:v>0.5</c:v>
                </c:pt>
                <c:pt idx="5">
                  <c:v>0.5</c:v>
                </c:pt>
              </c:numCache>
            </c:numRef>
          </c:val>
          <c:smooth val="0"/>
        </c:ser>
        <c:ser>
          <c:idx val="2"/>
          <c:order val="2"/>
          <c:tx>
            <c:strRef>
              <c:f>'Common Measures'!$E$69</c:f>
              <c:strCache>
                <c:ptCount val="1"/>
                <c:pt idx="0">
                  <c:v>Retention </c:v>
                </c:pt>
              </c:strCache>
            </c:strRef>
          </c:tx>
          <c:spPr>
            <a:ln w="57150">
              <a:solidFill>
                <a:schemeClr val="accent2">
                  <a:lumMod val="75000"/>
                </a:schemeClr>
              </a:solidFill>
            </a:ln>
          </c:spPr>
          <c:marker>
            <c:symbol val="none"/>
          </c:marker>
          <c:dLbls>
            <c:dLbl>
              <c:idx val="5"/>
              <c:dLblPos val="b"/>
              <c:showLegendKey val="0"/>
              <c:showVal val="1"/>
              <c:showCatName val="0"/>
              <c:showSerName val="0"/>
              <c:showPercent val="0"/>
              <c:showBubbleSize val="0"/>
            </c:dLbl>
            <c:spPr>
              <a:solidFill>
                <a:schemeClr val="lt1"/>
              </a:solidFill>
              <a:ln w="25400" cap="flat" cmpd="sng" algn="ctr">
                <a:solidFill>
                  <a:schemeClr val="accent2"/>
                </a:solidFill>
                <a:prstDash val="solid"/>
              </a:ln>
              <a:effectLst/>
            </c:spPr>
            <c:txPr>
              <a:bodyPr/>
              <a:lstStyle/>
              <a:p>
                <a:pPr>
                  <a:defRPr sz="1200" b="1">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0.76</c:v>
                </c:pt>
                <c:pt idx="2">
                  <c:v>0.77</c:v>
                </c:pt>
                <c:pt idx="3">
                  <c:v>0.77</c:v>
                </c:pt>
                <c:pt idx="4">
                  <c:v>0.78</c:v>
                </c:pt>
                <c:pt idx="5">
                  <c:v>0.78</c:v>
                </c:pt>
              </c:numCache>
            </c:numRef>
          </c:val>
          <c:smooth val="0"/>
        </c:ser>
        <c:dLbls>
          <c:showLegendKey val="0"/>
          <c:showVal val="0"/>
          <c:showCatName val="0"/>
          <c:showSerName val="0"/>
          <c:showPercent val="0"/>
          <c:showBubbleSize val="0"/>
        </c:dLbls>
        <c:marker val="1"/>
        <c:smooth val="0"/>
        <c:axId val="141017856"/>
        <c:axId val="140995584"/>
      </c:lineChart>
      <c:valAx>
        <c:axId val="140995584"/>
        <c:scaling>
          <c:orientation val="minMax"/>
          <c:max val="1"/>
          <c:min val="0"/>
        </c:scaling>
        <c:delete val="0"/>
        <c:axPos val="r"/>
        <c:numFmt formatCode="0%" sourceLinked="1"/>
        <c:majorTickMark val="out"/>
        <c:minorTickMark val="none"/>
        <c:tickLblPos val="nextTo"/>
        <c:txPr>
          <a:bodyPr/>
          <a:lstStyle/>
          <a:p>
            <a:pPr>
              <a:defRPr sz="1200"/>
            </a:pPr>
            <a:endParaRPr lang="en-US"/>
          </a:p>
        </c:txPr>
        <c:crossAx val="141017856"/>
        <c:crosses val="max"/>
        <c:crossBetween val="between"/>
        <c:majorUnit val="0.2"/>
      </c:valAx>
      <c:catAx>
        <c:axId val="141017856"/>
        <c:scaling>
          <c:orientation val="minMax"/>
        </c:scaling>
        <c:delete val="0"/>
        <c:axPos val="b"/>
        <c:majorTickMark val="out"/>
        <c:minorTickMark val="none"/>
        <c:tickLblPos val="nextTo"/>
        <c:txPr>
          <a:bodyPr/>
          <a:lstStyle/>
          <a:p>
            <a:pPr>
              <a:defRPr sz="1200"/>
            </a:pPr>
            <a:endParaRPr lang="en-US"/>
          </a:p>
        </c:txPr>
        <c:crossAx val="140995584"/>
        <c:crosses val="autoZero"/>
        <c:auto val="1"/>
        <c:lblAlgn val="ctr"/>
        <c:lblOffset val="100"/>
        <c:noMultiLvlLbl val="0"/>
      </c:catAx>
      <c:valAx>
        <c:axId val="141019392"/>
        <c:scaling>
          <c:orientation val="minMax"/>
          <c:min val="0"/>
        </c:scaling>
        <c:delete val="0"/>
        <c:axPos val="l"/>
        <c:numFmt formatCode="&quot;$&quot;#,##0" sourceLinked="0"/>
        <c:majorTickMark val="out"/>
        <c:minorTickMark val="none"/>
        <c:tickLblPos val="nextTo"/>
        <c:txPr>
          <a:bodyPr/>
          <a:lstStyle/>
          <a:p>
            <a:pPr>
              <a:defRPr sz="1200"/>
            </a:pPr>
            <a:endParaRPr lang="en-US"/>
          </a:p>
        </c:txPr>
        <c:crossAx val="141029376"/>
        <c:crosses val="autoZero"/>
        <c:crossBetween val="between"/>
        <c:majorUnit val="2500"/>
      </c:valAx>
      <c:catAx>
        <c:axId val="141029376"/>
        <c:scaling>
          <c:orientation val="minMax"/>
        </c:scaling>
        <c:delete val="1"/>
        <c:axPos val="b"/>
        <c:majorTickMark val="out"/>
        <c:minorTickMark val="none"/>
        <c:tickLblPos val="none"/>
        <c:crossAx val="141019392"/>
        <c:crosses val="autoZero"/>
        <c:auto val="1"/>
        <c:lblAlgn val="ctr"/>
        <c:lblOffset val="100"/>
        <c:noMultiLvlLbl val="0"/>
      </c:catAx>
    </c:plotArea>
    <c:legend>
      <c:legendPos val="b"/>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289" l="0.70000000000000062" r="0.70000000000000062" t="0.7500000000000028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838478893323"/>
          <c:y val="5.7466863443974163E-2"/>
          <c:w val="0.70869218917791177"/>
          <c:h val="0.84063265760750272"/>
        </c:manualLayout>
      </c:layout>
      <c:barChart>
        <c:barDir val="bar"/>
        <c:grouping val="clustered"/>
        <c:varyColors val="0"/>
        <c:ser>
          <c:idx val="1"/>
          <c:order val="0"/>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5400000" scaled="1"/>
              <a:tileRect/>
            </a:gradFill>
            <a:effectLst>
              <a:outerShdw blurRad="50800" dist="38100" dir="2700000" algn="tl" rotWithShape="0">
                <a:prstClr val="black">
                  <a:alpha val="40000"/>
                </a:prstClr>
              </a:outerShdw>
            </a:effectLst>
          </c:spPr>
          <c:invertIfNegative val="0"/>
          <c:dLbls>
            <c:txPr>
              <a:bodyPr/>
              <a:lstStyle/>
              <a:p>
                <a:pPr>
                  <a:defRPr sz="12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'State Data'!$C$14:$C$17</c:f>
              <c:numCache>
                <c:formatCode>#,##0</c:formatCode>
                <c:ptCount val="4"/>
                <c:pt idx="0">
                  <c:v>77118</c:v>
                </c:pt>
                <c:pt idx="1">
                  <c:v>45780</c:v>
                </c:pt>
                <c:pt idx="2">
                  <c:v>5887</c:v>
                </c:pt>
                <c:pt idx="3">
                  <c:v>3252</c:v>
                </c:pt>
              </c:numCache>
            </c:numRef>
          </c:val>
        </c:ser>
        <c:ser>
          <c:idx val="0"/>
          <c:order val="1"/>
          <c:invertIfNegative val="0"/>
          <c:dLbls>
            <c:txPr>
              <a:bodyPr/>
              <a:lstStyle/>
              <a:p>
                <a:pPr>
                  <a:defRPr sz="1100"/>
                </a:pPr>
                <a:endParaRPr lang="en-US"/>
              </a:p>
            </c:txPr>
            <c:showLegendKey val="0"/>
            <c:showVal val="1"/>
            <c:showCatName val="0"/>
            <c:showSerName val="0"/>
            <c:showPercent val="0"/>
            <c:showBubbleSize val="0"/>
            <c:showLeaderLines val="0"/>
          </c:dLbls>
          <c:cat>
            <c:strRef>
              <c:f>'Area Data'!$B$15:$B$18</c:f>
              <c:strCache>
                <c:ptCount val="4"/>
                <c:pt idx="0">
                  <c:v>Job Search Assistance</c:v>
                </c:pt>
                <c:pt idx="1">
                  <c:v>Assessment </c:v>
                </c:pt>
                <c:pt idx="2">
                  <c:v>Skill Development</c:v>
                </c:pt>
                <c:pt idx="3">
                  <c:v>Referral to Community Services</c:v>
                </c:pt>
              </c:strCache>
            </c:strRef>
          </c:cat>
          <c:val>
            <c:numRef>
              <c:f>'State Data'!$D$14:$D$17</c:f>
              <c:numCache>
                <c:formatCode>0%</c:formatCode>
                <c:ptCount val="4"/>
                <c:pt idx="0">
                  <c:v>0.74475605516282306</c:v>
                </c:pt>
                <c:pt idx="1">
                  <c:v>0.44211380229458802</c:v>
                </c:pt>
                <c:pt idx="2">
                  <c:v>5.6852860509135857E-2</c:v>
                </c:pt>
                <c:pt idx="3">
                  <c:v>3.1405724881214507E-2</c:v>
                </c:pt>
              </c:numCache>
            </c:numRef>
          </c:val>
        </c:ser>
        <c:dLbls>
          <c:showLegendKey val="0"/>
          <c:showVal val="1"/>
          <c:showCatName val="0"/>
          <c:showSerName val="0"/>
          <c:showPercent val="0"/>
          <c:showBubbleSize val="0"/>
        </c:dLbls>
        <c:gapWidth val="150"/>
        <c:axId val="142231808"/>
        <c:axId val="142249984"/>
      </c:barChart>
      <c:catAx>
        <c:axId val="142231808"/>
        <c:scaling>
          <c:orientation val="minMax"/>
        </c:scaling>
        <c:delete val="0"/>
        <c:axPos val="l"/>
        <c:numFmt formatCode="General" sourceLinked="1"/>
        <c:majorTickMark val="out"/>
        <c:minorTickMark val="none"/>
        <c:tickLblPos val="nextTo"/>
        <c:txPr>
          <a:bodyPr/>
          <a:lstStyle/>
          <a:p>
            <a:pPr>
              <a:defRPr sz="1400">
                <a:effectLst>
                  <a:outerShdw blurRad="50800" dist="38100" dir="8100000" algn="tr" rotWithShape="0">
                    <a:prstClr val="black">
                      <a:alpha val="40000"/>
                    </a:prstClr>
                  </a:outerShdw>
                </a:effectLst>
              </a:defRPr>
            </a:pPr>
            <a:endParaRPr lang="en-US"/>
          </a:p>
        </c:txPr>
        <c:crossAx val="142249984"/>
        <c:crosses val="autoZero"/>
        <c:auto val="1"/>
        <c:lblAlgn val="ctr"/>
        <c:lblOffset val="100"/>
        <c:noMultiLvlLbl val="0"/>
      </c:catAx>
      <c:valAx>
        <c:axId val="142249984"/>
        <c:scaling>
          <c:orientation val="minMax"/>
        </c:scaling>
        <c:delete val="0"/>
        <c:axPos val="b"/>
        <c:majorGridlines/>
        <c:numFmt formatCode="#,##0" sourceLinked="1"/>
        <c:majorTickMark val="out"/>
        <c:minorTickMark val="none"/>
        <c:tickLblPos val="nextTo"/>
        <c:crossAx val="142231808"/>
        <c:crosses val="autoZero"/>
        <c:crossBetween val="between"/>
        <c:majorUnit val="25000"/>
      </c:valAx>
    </c:plotArea>
    <c:plotVisOnly val="1"/>
    <c:dispBlanksAs val="gap"/>
    <c:showDLblsOverMax val="0"/>
  </c:chart>
  <c:spPr>
    <a:ln>
      <a:noFill/>
    </a:ln>
  </c:spPr>
  <c:printSettings>
    <c:headerFooter/>
    <c:pageMargins b="0.7500000000000121" l="0.70000000000000062" r="0.70000000000000062" t="0.750000000000012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Program Participants</a:t>
            </a:r>
          </a:p>
        </c:rich>
      </c:tx>
      <c:layout/>
      <c:overlay val="0"/>
    </c:title>
    <c:autoTitleDeleted val="0"/>
    <c:plotArea>
      <c:layout>
        <c:manualLayout>
          <c:layoutTarget val="inner"/>
          <c:xMode val="edge"/>
          <c:yMode val="edge"/>
          <c:x val="0.15263960815742614"/>
          <c:y val="0.20985795107655988"/>
          <c:w val="0.81287916695482665"/>
          <c:h val="0.57991959153585593"/>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'State Data'!$B$19:$B$22</c:f>
              <c:strCache>
                <c:ptCount val="4"/>
                <c:pt idx="0">
                  <c:v>Program Participants</c:v>
                </c:pt>
                <c:pt idx="1">
                  <c:v>WIA Participants</c:v>
                </c:pt>
                <c:pt idx="2">
                  <c:v>New WIA Participants</c:v>
                </c:pt>
                <c:pt idx="3">
                  <c:v>WIA Exiters</c:v>
                </c:pt>
              </c:strCache>
            </c:strRef>
          </c:cat>
          <c:val>
            <c:numRef>
              <c:f>'State Data'!$D$19:$D$22</c:f>
              <c:numCache>
                <c:formatCode>#,##0</c:formatCode>
                <c:ptCount val="4"/>
                <c:pt idx="0">
                  <c:v>22759</c:v>
                </c:pt>
                <c:pt idx="1">
                  <c:v>11480</c:v>
                </c:pt>
                <c:pt idx="2">
                  <c:v>1783</c:v>
                </c:pt>
                <c:pt idx="3">
                  <c:v>1854</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'State Data'!$B$19:$B$22</c:f>
              <c:strCache>
                <c:ptCount val="4"/>
                <c:pt idx="0">
                  <c:v>Program Participants</c:v>
                </c:pt>
                <c:pt idx="1">
                  <c:v>WIA Participants</c:v>
                </c:pt>
                <c:pt idx="2">
                  <c:v>New WIA Participants</c:v>
                </c:pt>
                <c:pt idx="3">
                  <c:v>WIA Exiters</c:v>
                </c:pt>
              </c:strCache>
            </c:strRef>
          </c:cat>
          <c:val>
            <c:numRef>
              <c:f>'State Data'!$C$19:$C$22</c:f>
              <c:numCache>
                <c:formatCode>#,##0</c:formatCode>
                <c:ptCount val="4"/>
                <c:pt idx="0">
                  <c:v>18477</c:v>
                </c:pt>
                <c:pt idx="1">
                  <c:v>9222</c:v>
                </c:pt>
                <c:pt idx="2">
                  <c:v>1416</c:v>
                </c:pt>
                <c:pt idx="3">
                  <c:v>1400</c:v>
                </c:pt>
              </c:numCache>
            </c:numRef>
          </c:val>
        </c:ser>
        <c:dLbls>
          <c:showLegendKey val="0"/>
          <c:showVal val="1"/>
          <c:showCatName val="0"/>
          <c:showSerName val="0"/>
          <c:showPercent val="0"/>
          <c:showBubbleSize val="0"/>
        </c:dLbls>
        <c:gapWidth val="150"/>
        <c:axId val="142541184"/>
        <c:axId val="142542720"/>
      </c:barChart>
      <c:catAx>
        <c:axId val="142541184"/>
        <c:scaling>
          <c:orientation val="minMax"/>
        </c:scaling>
        <c:delete val="0"/>
        <c:axPos val="b"/>
        <c:numFmt formatCode="General" sourceLinked="1"/>
        <c:majorTickMark val="out"/>
        <c:minorTickMark val="none"/>
        <c:tickLblPos val="nextTo"/>
        <c:txPr>
          <a:bodyPr/>
          <a:lstStyle/>
          <a:p>
            <a:pPr>
              <a:defRPr b="1"/>
            </a:pPr>
            <a:endParaRPr lang="en-US"/>
          </a:p>
        </c:txPr>
        <c:crossAx val="142542720"/>
        <c:crosses val="autoZero"/>
        <c:auto val="1"/>
        <c:lblAlgn val="ctr"/>
        <c:lblOffset val="100"/>
        <c:noMultiLvlLbl val="0"/>
      </c:catAx>
      <c:valAx>
        <c:axId val="142542720"/>
        <c:scaling>
          <c:orientation val="minMax"/>
        </c:scaling>
        <c:delete val="0"/>
        <c:axPos val="l"/>
        <c:majorGridlines/>
        <c:numFmt formatCode="#,##0" sourceLinked="1"/>
        <c:majorTickMark val="out"/>
        <c:minorTickMark val="none"/>
        <c:tickLblPos val="nextTo"/>
        <c:txPr>
          <a:bodyPr/>
          <a:lstStyle/>
          <a:p>
            <a:pPr>
              <a:defRPr b="0"/>
            </a:pPr>
            <a:endParaRPr lang="en-US"/>
          </a:p>
        </c:txPr>
        <c:crossAx val="142541184"/>
        <c:crosses val="autoZero"/>
        <c:crossBetween val="between"/>
      </c:valAx>
    </c:plotArea>
    <c:legend>
      <c:legendPos val="t"/>
      <c:layout>
        <c:manualLayout>
          <c:xMode val="edge"/>
          <c:yMode val="edge"/>
          <c:x val="0.13111041171228491"/>
          <c:y val="0.12243160984257492"/>
          <c:w val="0.70326992005014577"/>
          <c:h val="8.652776182577146E-2"/>
        </c:manualLayout>
      </c:layout>
      <c:overlay val="0"/>
      <c:txPr>
        <a:bodyPr/>
        <a:lstStyle/>
        <a:p>
          <a:pPr>
            <a:defRPr sz="1300"/>
          </a:pPr>
          <a:endParaRPr lang="en-US"/>
        </a:p>
      </c:txPr>
    </c:legend>
    <c:plotVisOnly val="1"/>
    <c:dispBlanksAs val="gap"/>
    <c:showDLblsOverMax val="0"/>
  </c:chart>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Employer Services</a:t>
            </a:r>
          </a:p>
        </c:rich>
      </c:tx>
      <c:layout/>
      <c:overlay val="0"/>
    </c:title>
    <c:autoTitleDeleted val="0"/>
    <c:plotArea>
      <c:layout>
        <c:manualLayout>
          <c:layoutTarget val="inner"/>
          <c:xMode val="edge"/>
          <c:yMode val="edge"/>
          <c:x val="0.1116752599927559"/>
          <c:y val="0.25120719578635975"/>
          <c:w val="0.62289599998446465"/>
          <c:h val="0.59506376299782415"/>
        </c:manualLayout>
      </c:layout>
      <c:barChart>
        <c:barDir val="col"/>
        <c:grouping val="clustered"/>
        <c:varyColors val="0"/>
        <c:ser>
          <c:idx val="0"/>
          <c:order val="0"/>
          <c:tx>
            <c:v>1 Year Ago</c:v>
          </c:tx>
          <c:spPr>
            <a:solidFill>
              <a:schemeClr val="lt1"/>
            </a:solidFill>
            <a:ln w="38100" cap="flat" cmpd="sng" algn="ctr">
              <a:solidFill>
                <a:schemeClr val="accent1"/>
              </a:solidFill>
              <a:prstDash val="solid"/>
            </a:ln>
            <a:effectLst/>
          </c:spPr>
          <c:invertIfNegative val="0"/>
          <c:dLbls>
            <c:delete val="1"/>
          </c:dLbls>
          <c:cat>
            <c:strRef>
              <c:f>'Area Data'!$B$25:$B$26</c:f>
              <c:strCache>
                <c:ptCount val="2"/>
                <c:pt idx="0">
                  <c:v>WA Job Openings</c:v>
                </c:pt>
                <c:pt idx="1">
                  <c:v>Employers Served</c:v>
                </c:pt>
              </c:strCache>
            </c:strRef>
          </c:cat>
          <c:val>
            <c:numRef>
              <c:f>'State Data'!$D$24:$D$25</c:f>
              <c:numCache>
                <c:formatCode>#,##0</c:formatCode>
                <c:ptCount val="2"/>
                <c:pt idx="0">
                  <c:v>10838</c:v>
                </c:pt>
                <c:pt idx="1">
                  <c:v>7096</c:v>
                </c:pt>
              </c:numCache>
            </c:numRef>
          </c:val>
        </c:ser>
        <c:ser>
          <c:idx val="1"/>
          <c:order val="1"/>
          <c:tx>
            <c:v>Current Quarter</c:v>
          </c:tx>
          <c:spPr>
            <a:solidFill>
              <a:schemeClr val="lt1"/>
            </a:solidFill>
            <a:ln w="38100" cap="flat" cmpd="sng" algn="ctr">
              <a:solidFill>
                <a:schemeClr val="accent3"/>
              </a:solidFill>
              <a:prstDash val="solid"/>
            </a:ln>
            <a:effectLst/>
          </c:spPr>
          <c:invertIfNegative val="0"/>
          <c:dLbls>
            <c:txPr>
              <a:bodyPr/>
              <a:lstStyle/>
              <a:p>
                <a:pPr>
                  <a:defRPr sz="1400" b="1"/>
                </a:pPr>
                <a:endParaRPr lang="en-US"/>
              </a:p>
            </c:txPr>
            <c:showLegendKey val="0"/>
            <c:showVal val="1"/>
            <c:showCatName val="0"/>
            <c:showSerName val="0"/>
            <c:showPercent val="0"/>
            <c:showBubbleSize val="0"/>
            <c:showLeaderLines val="0"/>
          </c:dLbls>
          <c:cat>
            <c:strRef>
              <c:f>'Area Data'!$B$25:$B$26</c:f>
              <c:strCache>
                <c:ptCount val="2"/>
                <c:pt idx="0">
                  <c:v>WA Job Openings</c:v>
                </c:pt>
                <c:pt idx="1">
                  <c:v>Employers Served</c:v>
                </c:pt>
              </c:strCache>
            </c:strRef>
          </c:cat>
          <c:val>
            <c:numRef>
              <c:f>'State Data'!$C$24:$C$25</c:f>
              <c:numCache>
                <c:formatCode>#,##0</c:formatCode>
                <c:ptCount val="2"/>
                <c:pt idx="0">
                  <c:v>9068</c:v>
                </c:pt>
                <c:pt idx="1">
                  <c:v>5746</c:v>
                </c:pt>
              </c:numCache>
            </c:numRef>
          </c:val>
        </c:ser>
        <c:dLbls>
          <c:showLegendKey val="0"/>
          <c:showVal val="1"/>
          <c:showCatName val="0"/>
          <c:showSerName val="0"/>
          <c:showPercent val="0"/>
          <c:showBubbleSize val="0"/>
        </c:dLbls>
        <c:gapWidth val="150"/>
        <c:axId val="142572544"/>
        <c:axId val="142574336"/>
      </c:barChart>
      <c:catAx>
        <c:axId val="142572544"/>
        <c:scaling>
          <c:orientation val="minMax"/>
        </c:scaling>
        <c:delete val="0"/>
        <c:axPos val="b"/>
        <c:majorGridlines/>
        <c:numFmt formatCode="General" sourceLinked="1"/>
        <c:majorTickMark val="out"/>
        <c:minorTickMark val="none"/>
        <c:tickLblPos val="nextTo"/>
        <c:txPr>
          <a:bodyPr/>
          <a:lstStyle/>
          <a:p>
            <a:pPr>
              <a:defRPr b="1"/>
            </a:pPr>
            <a:endParaRPr lang="en-US"/>
          </a:p>
        </c:txPr>
        <c:crossAx val="142574336"/>
        <c:crosses val="autoZero"/>
        <c:auto val="1"/>
        <c:lblAlgn val="ctr"/>
        <c:lblOffset val="100"/>
        <c:noMultiLvlLbl val="0"/>
      </c:catAx>
      <c:valAx>
        <c:axId val="142574336"/>
        <c:scaling>
          <c:orientation val="minMax"/>
        </c:scaling>
        <c:delete val="0"/>
        <c:axPos val="l"/>
        <c:majorGridlines/>
        <c:numFmt formatCode="#,##0" sourceLinked="1"/>
        <c:majorTickMark val="out"/>
        <c:minorTickMark val="none"/>
        <c:tickLblPos val="nextTo"/>
        <c:txPr>
          <a:bodyPr/>
          <a:lstStyle/>
          <a:p>
            <a:pPr>
              <a:defRPr b="0"/>
            </a:pPr>
            <a:endParaRPr lang="en-US"/>
          </a:p>
        </c:txPr>
        <c:crossAx val="142572544"/>
        <c:crosses val="autoZero"/>
        <c:crossBetween val="between"/>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199" l="0.70000000000000062" r="0.70000000000000062" t="0.7500000000000119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Job Orders</a:t>
            </a:r>
          </a:p>
        </c:rich>
      </c:tx>
      <c:layout/>
      <c:overlay val="0"/>
    </c:title>
    <c:autoTitleDeleted val="0"/>
    <c:plotArea>
      <c:layout>
        <c:manualLayout>
          <c:layoutTarget val="inner"/>
          <c:xMode val="edge"/>
          <c:yMode val="edge"/>
          <c:x val="0.45612107658140366"/>
          <c:y val="0.55271850430641412"/>
          <c:w val="0.47611765984873194"/>
          <c:h val="0.33775962282553235"/>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Data'!$B$28:$B$30</c:f>
              <c:strCache>
                <c:ptCount val="3"/>
                <c:pt idx="0">
                  <c:v>% of Job Orders in Top 5 Industries</c:v>
                </c:pt>
                <c:pt idx="1">
                  <c:v>Job Order Fill Rate</c:v>
                </c:pt>
                <c:pt idx="2">
                  <c:v>Average Job Order Wage</c:v>
                </c:pt>
              </c:strCache>
            </c:strRef>
          </c:cat>
          <c:val>
            <c:numRef>
              <c:f>'State Data'!$C$28:$C$29</c:f>
              <c:numCache>
                <c:formatCode>0%</c:formatCode>
                <c:ptCount val="2"/>
                <c:pt idx="0">
                  <c:v>0.40633232510488826</c:v>
                </c:pt>
                <c:pt idx="1">
                  <c:v>0.38299514777238641</c:v>
                </c:pt>
              </c:numCache>
            </c:numRef>
          </c:val>
        </c:ser>
        <c:ser>
          <c:idx val="0"/>
          <c:order val="1"/>
          <c:tx>
            <c:v>1 Year Ago</c:v>
          </c:tx>
          <c:spPr>
            <a:solidFill>
              <a:schemeClr val="lt1"/>
            </a:solidFill>
            <a:ln w="38100" cap="flat" cmpd="sng" algn="ctr">
              <a:solidFill>
                <a:schemeClr val="accent1"/>
              </a:solidFill>
              <a:prstDash val="solid"/>
            </a:ln>
            <a:effectLst/>
          </c:spPr>
          <c:invertIfNegative val="0"/>
          <c:dLbls>
            <c:delete val="1"/>
          </c:dLbls>
          <c:cat>
            <c:strRef>
              <c:f>'State Data'!$B$28:$B$30</c:f>
              <c:strCache>
                <c:ptCount val="3"/>
                <c:pt idx="0">
                  <c:v>% of Job Orders in Top 5 Industries</c:v>
                </c:pt>
                <c:pt idx="1">
                  <c:v>Job Order Fill Rate</c:v>
                </c:pt>
                <c:pt idx="2">
                  <c:v>Average Job Order Wage</c:v>
                </c:pt>
              </c:strCache>
            </c:strRef>
          </c:cat>
          <c:val>
            <c:numRef>
              <c:f>'State Data'!$D$28:$D$29</c:f>
              <c:numCache>
                <c:formatCode>0%</c:formatCode>
                <c:ptCount val="2"/>
                <c:pt idx="0">
                  <c:v>0.40287427429332828</c:v>
                </c:pt>
                <c:pt idx="1">
                  <c:v>0.38641815833179555</c:v>
                </c:pt>
              </c:numCache>
            </c:numRef>
          </c:val>
        </c:ser>
        <c:dLbls>
          <c:showLegendKey val="0"/>
          <c:showVal val="1"/>
          <c:showCatName val="0"/>
          <c:showSerName val="0"/>
          <c:showPercent val="0"/>
          <c:showBubbleSize val="0"/>
        </c:dLbls>
        <c:gapWidth val="150"/>
        <c:axId val="142616448"/>
        <c:axId val="142617984"/>
      </c:barChart>
      <c:catAx>
        <c:axId val="142616448"/>
        <c:scaling>
          <c:orientation val="minMax"/>
        </c:scaling>
        <c:delete val="0"/>
        <c:axPos val="l"/>
        <c:majorTickMark val="out"/>
        <c:minorTickMark val="none"/>
        <c:tickLblPos val="nextTo"/>
        <c:txPr>
          <a:bodyPr/>
          <a:lstStyle/>
          <a:p>
            <a:pPr>
              <a:defRPr sz="1100" b="1"/>
            </a:pPr>
            <a:endParaRPr lang="en-US"/>
          </a:p>
        </c:txPr>
        <c:crossAx val="142617984"/>
        <c:crosses val="autoZero"/>
        <c:auto val="1"/>
        <c:lblAlgn val="ctr"/>
        <c:lblOffset val="100"/>
        <c:noMultiLvlLbl val="0"/>
      </c:catAx>
      <c:valAx>
        <c:axId val="142617984"/>
        <c:scaling>
          <c:orientation val="minMax"/>
          <c:max val="0.5"/>
          <c:min val="0"/>
        </c:scaling>
        <c:delete val="0"/>
        <c:axPos val="b"/>
        <c:majorGridlines/>
        <c:numFmt formatCode="0%" sourceLinked="1"/>
        <c:majorTickMark val="out"/>
        <c:minorTickMark val="none"/>
        <c:tickLblPos val="nextTo"/>
        <c:txPr>
          <a:bodyPr/>
          <a:lstStyle/>
          <a:p>
            <a:pPr>
              <a:defRPr b="0"/>
            </a:pPr>
            <a:endParaRPr lang="en-US"/>
          </a:p>
        </c:txPr>
        <c:crossAx val="142616448"/>
        <c:crosses val="autoZero"/>
        <c:crossBetween val="between"/>
        <c:majorUnit val="0.25"/>
      </c:valAx>
    </c:plotArea>
    <c:legend>
      <c:legendPos val="t"/>
      <c:layout/>
      <c:overlay val="0"/>
      <c:txPr>
        <a:bodyPr/>
        <a:lstStyle/>
        <a:p>
          <a:pPr>
            <a:defRPr sz="1300"/>
          </a:pPr>
          <a:endParaRPr lang="en-US"/>
        </a:p>
      </c:txPr>
    </c:legend>
    <c:plotVisOnly val="1"/>
    <c:dispBlanksAs val="gap"/>
    <c:showDLblsOverMax val="0"/>
  </c:chart>
  <c:printSettings>
    <c:headerFooter/>
    <c:pageMargins b="0.75000000000001199" l="0.70000000000000062" r="0.70000000000000062" t="0.75000000000001199"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45612107658140366"/>
          <c:y val="0.27772683596086895"/>
          <c:w val="0.47611765984873194"/>
          <c:h val="0.59282435868227434"/>
        </c:manualLayout>
      </c:layout>
      <c:barChart>
        <c:barDir val="bar"/>
        <c:grouping val="clustered"/>
        <c:varyColors val="0"/>
        <c:ser>
          <c:idx val="1"/>
          <c:order val="0"/>
          <c:tx>
            <c:v>Current Quarter</c:v>
          </c:tx>
          <c:spPr>
            <a:solidFill>
              <a:schemeClr val="lt1"/>
            </a:solidFill>
            <a:ln w="25400" cap="flat" cmpd="sng" algn="ctr">
              <a:solidFill>
                <a:schemeClr val="accent3"/>
              </a:solidFill>
              <a:prstDash val="solid"/>
            </a:ln>
            <a:effectLst/>
          </c:spPr>
          <c:invertIfNegative val="0"/>
          <c:dLbls>
            <c:txPr>
              <a:bodyPr/>
              <a:lstStyle/>
              <a:p>
                <a:pPr>
                  <a:defRPr sz="1100" b="1"/>
                </a:pPr>
                <a:endParaRPr lang="en-US"/>
              </a:p>
            </c:txPr>
            <c:showLegendKey val="0"/>
            <c:showVal val="1"/>
            <c:showCatName val="0"/>
            <c:showSerName val="0"/>
            <c:showPercent val="0"/>
            <c:showBubbleSize val="0"/>
            <c:showLeaderLines val="0"/>
          </c:dLbls>
          <c:cat>
            <c:strRef>
              <c:f>'State Data'!$B$30</c:f>
              <c:strCache>
                <c:ptCount val="1"/>
                <c:pt idx="0">
                  <c:v>Average Job Order Wage</c:v>
                </c:pt>
              </c:strCache>
            </c:strRef>
          </c:cat>
          <c:val>
            <c:numRef>
              <c:f>'State Data'!$C$30</c:f>
              <c:numCache>
                <c:formatCode>"$"#,##0.00</c:formatCode>
                <c:ptCount val="1"/>
                <c:pt idx="0">
                  <c:v>13.236831118378847</c:v>
                </c:pt>
              </c:numCache>
            </c:numRef>
          </c:val>
        </c:ser>
        <c:ser>
          <c:idx val="0"/>
          <c:order val="1"/>
          <c:tx>
            <c:v>1 Year Ago</c:v>
          </c:tx>
          <c:spPr>
            <a:solidFill>
              <a:schemeClr val="lt1"/>
            </a:solidFill>
            <a:ln w="38100" cap="flat" cmpd="sng" algn="ctr">
              <a:solidFill>
                <a:schemeClr val="accent1"/>
              </a:solidFill>
              <a:prstDash val="solid"/>
            </a:ln>
            <a:effectLst/>
          </c:spPr>
          <c:invertIfNegative val="0"/>
          <c:cat>
            <c:strRef>
              <c:f>'State Data'!$B$30</c:f>
              <c:strCache>
                <c:ptCount val="1"/>
                <c:pt idx="0">
                  <c:v>Average Job Order Wage</c:v>
                </c:pt>
              </c:strCache>
            </c:strRef>
          </c:cat>
          <c:val>
            <c:numRef>
              <c:f>'State Data'!$D$30</c:f>
              <c:numCache>
                <c:formatCode>"$"#,##0.00</c:formatCode>
                <c:ptCount val="1"/>
                <c:pt idx="0">
                  <c:v>13.745607208570631</c:v>
                </c:pt>
              </c:numCache>
            </c:numRef>
          </c:val>
        </c:ser>
        <c:dLbls>
          <c:showLegendKey val="0"/>
          <c:showVal val="1"/>
          <c:showCatName val="0"/>
          <c:showSerName val="0"/>
          <c:showPercent val="0"/>
          <c:showBubbleSize val="0"/>
        </c:dLbls>
        <c:gapWidth val="150"/>
        <c:axId val="142353536"/>
        <c:axId val="142355072"/>
      </c:barChart>
      <c:catAx>
        <c:axId val="142353536"/>
        <c:scaling>
          <c:orientation val="minMax"/>
        </c:scaling>
        <c:delete val="0"/>
        <c:axPos val="l"/>
        <c:majorTickMark val="out"/>
        <c:minorTickMark val="none"/>
        <c:tickLblPos val="nextTo"/>
        <c:txPr>
          <a:bodyPr/>
          <a:lstStyle/>
          <a:p>
            <a:pPr>
              <a:defRPr sz="1100" b="1"/>
            </a:pPr>
            <a:endParaRPr lang="en-US"/>
          </a:p>
        </c:txPr>
        <c:crossAx val="142355072"/>
        <c:crosses val="autoZero"/>
        <c:auto val="1"/>
        <c:lblAlgn val="ctr"/>
        <c:lblOffset val="100"/>
        <c:noMultiLvlLbl val="0"/>
      </c:catAx>
      <c:valAx>
        <c:axId val="142355072"/>
        <c:scaling>
          <c:orientation val="minMax"/>
          <c:min val="0"/>
        </c:scaling>
        <c:delete val="0"/>
        <c:axPos val="b"/>
        <c:majorGridlines/>
        <c:numFmt formatCode="&quot;$&quot;#,##0.00" sourceLinked="1"/>
        <c:majorTickMark val="out"/>
        <c:minorTickMark val="none"/>
        <c:tickLblPos val="nextTo"/>
        <c:txPr>
          <a:bodyPr/>
          <a:lstStyle/>
          <a:p>
            <a:pPr>
              <a:defRPr b="0"/>
            </a:pPr>
            <a:endParaRPr lang="en-US"/>
          </a:p>
        </c:txPr>
        <c:crossAx val="142353536"/>
        <c:crosses val="autoZero"/>
        <c:crossBetween val="between"/>
      </c:valAx>
    </c:plotArea>
    <c:plotVisOnly val="1"/>
    <c:dispBlanksAs val="gap"/>
    <c:showDLblsOverMax val="0"/>
  </c:chart>
  <c:spPr>
    <a:ln>
      <a:noFill/>
    </a:ln>
  </c:spPr>
  <c:printSettings>
    <c:headerFooter/>
    <c:pageMargins b="0.75000000000001221" l="0.70000000000000062" r="0.70000000000000062" t="0.75000000000001221"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Labor Market, Apr 2010 - Mar 2011</a:t>
            </a:r>
          </a:p>
        </c:rich>
      </c:tx>
      <c:overlay val="0"/>
    </c:title>
    <c:autoTitleDeleted val="0"/>
    <c:plotArea>
      <c:layout>
        <c:manualLayout>
          <c:layoutTarget val="inner"/>
          <c:xMode val="edge"/>
          <c:yMode val="edge"/>
          <c:x val="0.15424642327585344"/>
          <c:y val="0.15513094761459903"/>
          <c:w val="0.74978153356253519"/>
          <c:h val="0.59216462348986043"/>
        </c:manualLayout>
      </c:layout>
      <c:barChart>
        <c:barDir val="col"/>
        <c:grouping val="clustered"/>
        <c:varyColors val="0"/>
        <c:ser>
          <c:idx val="1"/>
          <c:order val="1"/>
          <c:tx>
            <c:v>Employed</c:v>
          </c:tx>
          <c:invertIfNegative val="0"/>
          <c:val>
            <c:numRef>
              <c:f>'State Data'!$G$21:$J$21</c:f>
              <c:numCache>
                <c:formatCode>#,##0</c:formatCode>
                <c:ptCount val="4"/>
                <c:pt idx="0">
                  <c:v>3203803</c:v>
                </c:pt>
                <c:pt idx="1">
                  <c:v>3214420</c:v>
                </c:pt>
                <c:pt idx="2">
                  <c:v>3205983</c:v>
                </c:pt>
                <c:pt idx="3">
                  <c:v>3148303</c:v>
                </c:pt>
              </c:numCache>
            </c:numRef>
          </c:val>
        </c:ser>
        <c:ser>
          <c:idx val="0"/>
          <c:order val="2"/>
          <c:tx>
            <c:v>Labor Force</c:v>
          </c:tx>
          <c:invertIfNegative val="0"/>
          <c:dLbls>
            <c:spPr>
              <a:solidFill>
                <a:schemeClr val="lt1"/>
              </a:solidFill>
              <a:ln w="25400" cap="flat" cmpd="sng" algn="ctr">
                <a:solidFill>
                  <a:schemeClr val="accent1"/>
                </a:solidFill>
                <a:prstDash val="solid"/>
              </a:ln>
              <a:effectLst/>
            </c:spPr>
            <c:txPr>
              <a:bodyPr/>
              <a:lstStyle/>
              <a:p>
                <a:pPr>
                  <a:defRPr sz="1000">
                    <a:solidFill>
                      <a:schemeClr val="dk1"/>
                    </a:solidFill>
                    <a:latin typeface="+mn-lt"/>
                    <a:ea typeface="+mn-ea"/>
                    <a:cs typeface="+mn-cs"/>
                  </a:defRPr>
                </a:pPr>
                <a:endParaRPr lang="en-US"/>
              </a:p>
            </c:txPr>
            <c:dLblPos val="outEnd"/>
            <c:showLegendKey val="0"/>
            <c:showVal val="1"/>
            <c:showCatName val="0"/>
            <c:showSerName val="0"/>
            <c:showPercent val="0"/>
            <c:showBubbleSize val="0"/>
            <c:showLeaderLines val="0"/>
          </c:dLbls>
          <c:val>
            <c:numRef>
              <c:f>'State Data'!$G$23:$J$23</c:f>
              <c:numCache>
                <c:formatCode>#,##0</c:formatCode>
                <c:ptCount val="4"/>
                <c:pt idx="0">
                  <c:v>3537857</c:v>
                </c:pt>
                <c:pt idx="1">
                  <c:v>3536117</c:v>
                </c:pt>
                <c:pt idx="2">
                  <c:v>3527497</c:v>
                </c:pt>
                <c:pt idx="3">
                  <c:v>3493033</c:v>
                </c:pt>
              </c:numCache>
            </c:numRef>
          </c:val>
        </c:ser>
        <c:dLbls>
          <c:showLegendKey val="0"/>
          <c:showVal val="0"/>
          <c:showCatName val="0"/>
          <c:showSerName val="0"/>
          <c:showPercent val="0"/>
          <c:showBubbleSize val="0"/>
        </c:dLbls>
        <c:gapWidth val="150"/>
        <c:axId val="142687232"/>
        <c:axId val="142685696"/>
      </c:barChart>
      <c:lineChart>
        <c:grouping val="standard"/>
        <c:varyColors val="0"/>
        <c:ser>
          <c:idx val="10"/>
          <c:order val="0"/>
          <c:tx>
            <c:strRef>
              <c:f>'Area Data'!$F$24</c:f>
              <c:strCache>
                <c:ptCount val="1"/>
                <c:pt idx="0">
                  <c:v>Unemployment Rate</c:v>
                </c:pt>
              </c:strCache>
            </c:strRef>
          </c:tx>
          <c:marker>
            <c:symbol val="diamond"/>
            <c:size val="5"/>
            <c:spPr>
              <a:solidFill>
                <a:schemeClr val="accent1"/>
              </a:solidFill>
            </c:spPr>
          </c:marker>
          <c:dLbls>
            <c:txPr>
              <a:bodyPr/>
              <a:lstStyle/>
              <a:p>
                <a:pPr>
                  <a:defRPr sz="1400" b="1"/>
                </a:pPr>
                <a:endParaRPr lang="en-US"/>
              </a:p>
            </c:txPr>
            <c:dLblPos val="l"/>
            <c:showLegendKey val="0"/>
            <c:showVal val="1"/>
            <c:showCatName val="0"/>
            <c:showSerName val="0"/>
            <c:showPercent val="0"/>
            <c:showBubbleSize val="0"/>
            <c:showLeaderLines val="0"/>
          </c:dLbls>
          <c:cat>
            <c:strRef>
              <c:f>'Area Data'!$G$20:$J$20</c:f>
              <c:strCache>
                <c:ptCount val="4"/>
                <c:pt idx="0">
                  <c:v>PY09 Q4</c:v>
                </c:pt>
                <c:pt idx="1">
                  <c:v>PY10 Q1</c:v>
                </c:pt>
                <c:pt idx="2">
                  <c:v>PY10 Q2</c:v>
                </c:pt>
                <c:pt idx="3">
                  <c:v>PY10 Q3</c:v>
                </c:pt>
              </c:strCache>
            </c:strRef>
          </c:cat>
          <c:val>
            <c:numRef>
              <c:f>'State Data'!$G$24:$J$24</c:f>
              <c:numCache>
                <c:formatCode>0.0%</c:formatCode>
                <c:ptCount val="4"/>
                <c:pt idx="0">
                  <c:v>9.4422414472942237E-2</c:v>
                </c:pt>
                <c:pt idx="1">
                  <c:v>9.0974648180475931E-2</c:v>
                </c:pt>
                <c:pt idx="2">
                  <c:v>9.1144797571762637E-2</c:v>
                </c:pt>
                <c:pt idx="3">
                  <c:v>9.869073667497559E-2</c:v>
                </c:pt>
              </c:numCache>
            </c:numRef>
          </c:val>
          <c:smooth val="0"/>
        </c:ser>
        <c:dLbls>
          <c:showLegendKey val="0"/>
          <c:showVal val="0"/>
          <c:showCatName val="0"/>
          <c:showSerName val="0"/>
          <c:showPercent val="0"/>
          <c:showBubbleSize val="0"/>
        </c:dLbls>
        <c:marker val="1"/>
        <c:smooth val="0"/>
        <c:axId val="142539008"/>
        <c:axId val="142684160"/>
      </c:lineChart>
      <c:catAx>
        <c:axId val="142539008"/>
        <c:scaling>
          <c:orientation val="minMax"/>
        </c:scaling>
        <c:delete val="0"/>
        <c:axPos val="b"/>
        <c:numFmt formatCode="0.00%" sourceLinked="1"/>
        <c:majorTickMark val="out"/>
        <c:minorTickMark val="none"/>
        <c:tickLblPos val="nextTo"/>
        <c:txPr>
          <a:bodyPr/>
          <a:lstStyle/>
          <a:p>
            <a:pPr>
              <a:defRPr sz="1400"/>
            </a:pPr>
            <a:endParaRPr lang="en-US"/>
          </a:p>
        </c:txPr>
        <c:crossAx val="142684160"/>
        <c:crosses val="autoZero"/>
        <c:auto val="1"/>
        <c:lblAlgn val="ctr"/>
        <c:lblOffset val="100"/>
        <c:noMultiLvlLbl val="0"/>
      </c:catAx>
      <c:valAx>
        <c:axId val="142684160"/>
        <c:scaling>
          <c:orientation val="minMax"/>
          <c:min val="0"/>
        </c:scaling>
        <c:delete val="0"/>
        <c:axPos val="l"/>
        <c:majorGridlines/>
        <c:numFmt formatCode="0%" sourceLinked="0"/>
        <c:majorTickMark val="out"/>
        <c:minorTickMark val="none"/>
        <c:tickLblPos val="nextTo"/>
        <c:txPr>
          <a:bodyPr/>
          <a:lstStyle/>
          <a:p>
            <a:pPr>
              <a:defRPr sz="1600"/>
            </a:pPr>
            <a:endParaRPr lang="en-US"/>
          </a:p>
        </c:txPr>
        <c:crossAx val="142539008"/>
        <c:crosses val="autoZero"/>
        <c:crossBetween val="between"/>
      </c:valAx>
      <c:valAx>
        <c:axId val="142685696"/>
        <c:scaling>
          <c:orientation val="minMax"/>
          <c:min val="0"/>
        </c:scaling>
        <c:delete val="0"/>
        <c:axPos val="r"/>
        <c:numFmt formatCode="#,##0" sourceLinked="1"/>
        <c:majorTickMark val="out"/>
        <c:minorTickMark val="none"/>
        <c:tickLblPos val="nextTo"/>
        <c:txPr>
          <a:bodyPr/>
          <a:lstStyle/>
          <a:p>
            <a:pPr>
              <a:defRPr sz="1200"/>
            </a:pPr>
            <a:endParaRPr lang="en-US"/>
          </a:p>
        </c:txPr>
        <c:crossAx val="142687232"/>
        <c:crosses val="max"/>
        <c:crossBetween val="between"/>
      </c:valAx>
      <c:catAx>
        <c:axId val="142687232"/>
        <c:scaling>
          <c:orientation val="minMax"/>
        </c:scaling>
        <c:delete val="1"/>
        <c:axPos val="b"/>
        <c:majorTickMark val="out"/>
        <c:minorTickMark val="none"/>
        <c:tickLblPos val="none"/>
        <c:crossAx val="142685696"/>
        <c:crosses val="autoZero"/>
        <c:auto val="1"/>
        <c:lblAlgn val="ctr"/>
        <c:lblOffset val="100"/>
        <c:noMultiLvlLbl val="0"/>
      </c:catAx>
    </c:plotArea>
    <c:legend>
      <c:legendPos val="b"/>
      <c:layout>
        <c:manualLayout>
          <c:xMode val="edge"/>
          <c:yMode val="edge"/>
          <c:x val="2.5308641975308629E-2"/>
          <c:y val="0.8856373535832297"/>
          <c:w val="0.94938271604938285"/>
          <c:h val="8.8472678779230263E-2"/>
        </c:manualLayout>
      </c:layout>
      <c:overlay val="0"/>
      <c:txPr>
        <a:bodyPr/>
        <a:lstStyle/>
        <a:p>
          <a:pPr>
            <a:defRPr sz="1400"/>
          </a:pPr>
          <a:endParaRPr lang="en-US"/>
        </a:p>
      </c:txPr>
    </c:legend>
    <c:plotVisOnly val="1"/>
    <c:dispBlanksAs val="gap"/>
    <c:showDLblsOverMax val="0"/>
  </c:chart>
  <c:spPr>
    <a:ln>
      <a:solidFill>
        <a:sysClr val="windowText" lastClr="000000"/>
      </a:solidFill>
    </a:ln>
  </c:spPr>
  <c:printSettings>
    <c:headerFooter/>
    <c:pageMargins b="0.75000000000001232" l="0.70000000000000095" r="0.70000000000000095" t="0.75000000000001232"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All Customers Common Measures</a:t>
            </a:r>
          </a:p>
        </c:rich>
      </c:tx>
      <c:overlay val="0"/>
    </c:title>
    <c:autoTitleDeleted val="0"/>
    <c:plotArea>
      <c:layout>
        <c:manualLayout>
          <c:layoutTarget val="inner"/>
          <c:xMode val="edge"/>
          <c:yMode val="edge"/>
          <c:x val="0.10841219359030888"/>
          <c:y val="0.10722831150408671"/>
          <c:w val="0.7795612601227585"/>
          <c:h val="0.65017222427658405"/>
        </c:manualLayout>
      </c:layout>
      <c:barChart>
        <c:barDir val="col"/>
        <c:grouping val="clustered"/>
        <c:varyColors val="0"/>
        <c:ser>
          <c:idx val="0"/>
          <c:order val="0"/>
          <c:tx>
            <c:strRef>
              <c:f>'Common Measures'!$C$33</c:f>
              <c:strCache>
                <c:ptCount val="1"/>
                <c:pt idx="0">
                  <c:v>Actual</c:v>
                </c:pt>
              </c:strCache>
            </c:strRef>
          </c:tx>
          <c:spPr>
            <a:ln>
              <a:noFill/>
            </a:ln>
            <a:scene3d>
              <a:camera prst="orthographicFront"/>
              <a:lightRig rig="balanced" dir="t">
                <a:rot lat="0" lon="0" rev="8700000"/>
              </a:lightRig>
            </a:scene3d>
            <a:sp3d>
              <a:bevelT w="190500" h="38100"/>
            </a:sp3d>
          </c:spPr>
          <c:invertIfNegative val="0"/>
          <c:dPt>
            <c:idx val="1"/>
            <c:invertIfNegative val="0"/>
            <c:bubble3D val="0"/>
            <c:spPr>
              <a:solidFill>
                <a:schemeClr val="accent2">
                  <a:lumMod val="75000"/>
                </a:schemeClr>
              </a:solidFill>
              <a:ln>
                <a:noFill/>
              </a:ln>
              <a:scene3d>
                <a:camera prst="orthographicFront"/>
                <a:lightRig rig="balanced" dir="t">
                  <a:rot lat="0" lon="0" rev="8700000"/>
                </a:lightRig>
              </a:scene3d>
              <a:sp3d>
                <a:bevelT w="190500" h="38100"/>
              </a:sp3d>
            </c:spPr>
          </c:dPt>
          <c:dLbls>
            <c:dLbl>
              <c:idx val="1"/>
              <c:numFmt formatCode="0%" sourceLinked="0"/>
              <c:spPr>
                <a:solidFill>
                  <a:schemeClr val="lt1"/>
                </a:solidFill>
                <a:ln w="25400" cap="flat" cmpd="sng" algn="ctr">
                  <a:solidFill>
                    <a:schemeClr val="accent2"/>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solidFill>
                <a:schemeClr val="lt1"/>
              </a:solidFill>
              <a:ln w="25400" cap="flat" cmpd="sng" algn="ctr">
                <a:solidFill>
                  <a:schemeClr val="accent1"/>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Measures'!$C$51:$C$53</c:f>
              <c:numCache>
                <c:formatCode>0.0%</c:formatCode>
                <c:ptCount val="3"/>
                <c:pt idx="0">
                  <c:v>0.52</c:v>
                </c:pt>
                <c:pt idx="1">
                  <c:v>0.79</c:v>
                </c:pt>
              </c:numCache>
            </c:numRef>
          </c:val>
        </c:ser>
        <c:dLbls>
          <c:showLegendKey val="0"/>
          <c:showVal val="0"/>
          <c:showCatName val="0"/>
          <c:showSerName val="0"/>
          <c:showPercent val="0"/>
          <c:showBubbleSize val="0"/>
        </c:dLbls>
        <c:gapWidth val="150"/>
        <c:axId val="142760192"/>
        <c:axId val="142770176"/>
      </c:barChart>
      <c:barChart>
        <c:barDir val="col"/>
        <c:grouping val="clustered"/>
        <c:varyColors val="0"/>
        <c:ser>
          <c:idx val="1"/>
          <c:order val="1"/>
          <c:tx>
            <c:strRef>
              <c:f>'Common Measures'!$D$33</c:f>
              <c:strCache>
                <c:ptCount val="1"/>
                <c:pt idx="0">
                  <c:v>Actual $</c:v>
                </c:pt>
              </c:strCache>
            </c:strRef>
          </c:tx>
          <c:spPr>
            <a:solidFill>
              <a:schemeClr val="accent3">
                <a:lumMod val="75000"/>
              </a:schemeClr>
            </a:solidFill>
            <a:scene3d>
              <a:camera prst="orthographicFront"/>
              <a:lightRig rig="balanced" dir="t">
                <a:rot lat="0" lon="0" rev="8700000"/>
              </a:lightRig>
            </a:scene3d>
            <a:sp3d>
              <a:bevelT w="190500" h="38100"/>
            </a:sp3d>
          </c:spPr>
          <c:invertIfNegative val="0"/>
          <c:dLbls>
            <c:spPr>
              <a:solidFill>
                <a:schemeClr val="lt1"/>
              </a:solidFill>
              <a:ln w="25400" cap="flat" cmpd="sng" algn="ctr">
                <a:solidFill>
                  <a:schemeClr val="accent3"/>
                </a:solidFill>
                <a:prstDash val="solid"/>
              </a:ln>
              <a:effectLst/>
            </c:spPr>
            <c:txPr>
              <a:bodyPr/>
              <a:lstStyle/>
              <a:p>
                <a:pPr>
                  <a:defRPr sz="240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Measures'!$D$51:$D$53</c:f>
              <c:numCache>
                <c:formatCode>0.0%</c:formatCode>
                <c:ptCount val="3"/>
                <c:pt idx="2" formatCode="&quot;$&quot;#,##0">
                  <c:v>14447</c:v>
                </c:pt>
              </c:numCache>
            </c:numRef>
          </c:val>
        </c:ser>
        <c:dLbls>
          <c:showLegendKey val="0"/>
          <c:showVal val="0"/>
          <c:showCatName val="0"/>
          <c:showSerName val="0"/>
          <c:showPercent val="0"/>
          <c:showBubbleSize val="0"/>
        </c:dLbls>
        <c:gapWidth val="150"/>
        <c:axId val="142773248"/>
        <c:axId val="142771712"/>
      </c:barChart>
      <c:scatterChart>
        <c:scatterStyle val="lineMarker"/>
        <c:varyColors val="0"/>
        <c:ser>
          <c:idx val="2"/>
          <c:order val="2"/>
          <c:tx>
            <c:strRef>
              <c:f>'Common Measures'!$E$33</c:f>
              <c:strCache>
                <c:ptCount val="1"/>
                <c:pt idx="0">
                  <c:v>Target</c:v>
                </c:pt>
              </c:strCache>
            </c:strRef>
          </c:tx>
          <c:spPr>
            <a:ln w="66675">
              <a:noFill/>
            </a:ln>
          </c:spPr>
          <c:marker>
            <c:symbol val="dash"/>
            <c:size val="20"/>
            <c:spPr>
              <a:solidFill>
                <a:schemeClr val="tx1"/>
              </a:solidFill>
              <a:ln>
                <a:solidFill>
                  <a:schemeClr val="tx1"/>
                </a:solidFill>
              </a:ln>
            </c:spPr>
          </c:marker>
          <c:dLbls>
            <c:dLbl>
              <c:idx val="0"/>
              <c:numFmt formatCode="0%" sourceLinked="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dLbl>
            <c:numFmt formatCode="0.0%" sourceLinked="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Measures'!$E$51:$E$53</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42760192"/>
        <c:axId val="142770176"/>
      </c:scatterChart>
      <c:scatterChart>
        <c:scatterStyle val="lineMarker"/>
        <c:varyColors val="0"/>
        <c:ser>
          <c:idx val="3"/>
          <c:order val="3"/>
          <c:tx>
            <c:strRef>
              <c:f>'Common Measures'!$F$33</c:f>
              <c:strCache>
                <c:ptCount val="1"/>
                <c:pt idx="0">
                  <c:v>Target $</c:v>
                </c:pt>
              </c:strCache>
            </c:strRef>
          </c:tx>
          <c:spPr>
            <a:ln w="66675">
              <a:solidFill>
                <a:sysClr val="windowText" lastClr="000000"/>
              </a:solidFill>
            </a:ln>
          </c:spPr>
          <c:marker>
            <c:symbol val="dash"/>
            <c:size val="20"/>
            <c:spPr>
              <a:solidFill>
                <a:schemeClr val="tx1"/>
              </a:solidFill>
              <a:ln>
                <a:solidFill>
                  <a:sysClr val="windowText" lastClr="000000"/>
                </a:solidFill>
              </a:ln>
            </c:spPr>
          </c:marker>
          <c:dLbls>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sz="2400">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Measures'!$F$51:$F$53</c:f>
              <c:numCache>
                <c:formatCode>General</c:formatCode>
                <c:ptCount val="3"/>
                <c:pt idx="2" formatCode="&quot;$&quot;#,##0">
                  <c:v>13500</c:v>
                </c:pt>
              </c:numCache>
            </c:numRef>
          </c:yVal>
          <c:smooth val="0"/>
        </c:ser>
        <c:dLbls>
          <c:showLegendKey val="0"/>
          <c:showVal val="0"/>
          <c:showCatName val="0"/>
          <c:showSerName val="0"/>
          <c:showPercent val="0"/>
          <c:showBubbleSize val="0"/>
        </c:dLbls>
        <c:axId val="142773248"/>
        <c:axId val="142771712"/>
      </c:scatterChart>
      <c:catAx>
        <c:axId val="142760192"/>
        <c:scaling>
          <c:orientation val="minMax"/>
        </c:scaling>
        <c:delete val="0"/>
        <c:axPos val="b"/>
        <c:majorTickMark val="out"/>
        <c:minorTickMark val="none"/>
        <c:tickLblPos val="nextTo"/>
        <c:txPr>
          <a:bodyPr/>
          <a:lstStyle/>
          <a:p>
            <a:pPr>
              <a:defRPr sz="2000"/>
            </a:pPr>
            <a:endParaRPr lang="en-US"/>
          </a:p>
        </c:txPr>
        <c:crossAx val="142770176"/>
        <c:crosses val="autoZero"/>
        <c:auto val="1"/>
        <c:lblAlgn val="ctr"/>
        <c:lblOffset val="100"/>
        <c:noMultiLvlLbl val="0"/>
      </c:catAx>
      <c:valAx>
        <c:axId val="142770176"/>
        <c:scaling>
          <c:orientation val="minMax"/>
          <c:max val="1"/>
        </c:scaling>
        <c:delete val="0"/>
        <c:axPos val="l"/>
        <c:majorGridlines/>
        <c:numFmt formatCode="0%" sourceLinked="0"/>
        <c:majorTickMark val="out"/>
        <c:minorTickMark val="none"/>
        <c:tickLblPos val="nextTo"/>
        <c:txPr>
          <a:bodyPr/>
          <a:lstStyle/>
          <a:p>
            <a:pPr>
              <a:defRPr sz="1600"/>
            </a:pPr>
            <a:endParaRPr lang="en-US"/>
          </a:p>
        </c:txPr>
        <c:crossAx val="142760192"/>
        <c:crosses val="autoZero"/>
        <c:crossBetween val="between"/>
        <c:majorUnit val="0.25"/>
      </c:valAx>
      <c:valAx>
        <c:axId val="142771712"/>
        <c:scaling>
          <c:orientation val="minMax"/>
          <c:max val="16000"/>
          <c:min val="0"/>
        </c:scaling>
        <c:delete val="0"/>
        <c:axPos val="r"/>
        <c:numFmt formatCode="&quot;$&quot;#,##0" sourceLinked="0"/>
        <c:majorTickMark val="out"/>
        <c:minorTickMark val="none"/>
        <c:tickLblPos val="nextTo"/>
        <c:txPr>
          <a:bodyPr/>
          <a:lstStyle/>
          <a:p>
            <a:pPr>
              <a:defRPr sz="1600"/>
            </a:pPr>
            <a:endParaRPr lang="en-US"/>
          </a:p>
        </c:txPr>
        <c:crossAx val="142773248"/>
        <c:crosses val="max"/>
        <c:crossBetween val="between"/>
        <c:majorUnit val="2000"/>
      </c:valAx>
      <c:catAx>
        <c:axId val="142773248"/>
        <c:scaling>
          <c:orientation val="minMax"/>
        </c:scaling>
        <c:delete val="1"/>
        <c:axPos val="b"/>
        <c:majorTickMark val="out"/>
        <c:minorTickMark val="none"/>
        <c:tickLblPos val="none"/>
        <c:crossAx val="142771712"/>
        <c:crosses val="autoZero"/>
        <c:auto val="1"/>
        <c:lblAlgn val="ctr"/>
        <c:lblOffset val="100"/>
        <c:noMultiLvlLbl val="0"/>
      </c:catAx>
    </c:plotArea>
    <c:legend>
      <c:legendPos val="t"/>
      <c:legendEntry>
        <c:idx val="0"/>
        <c:delete val="1"/>
      </c:legendEntry>
      <c:legendEntry>
        <c:idx val="1"/>
        <c:delete val="1"/>
      </c:legendEntry>
      <c:legendEntry>
        <c:idx val="3"/>
        <c:delete val="1"/>
      </c:legendEntry>
      <c:layout>
        <c:manualLayout>
          <c:xMode val="edge"/>
          <c:yMode val="edge"/>
          <c:x val="0.13779634968060447"/>
          <c:y val="0.90532353836300505"/>
          <c:w val="0.71056491667669064"/>
          <c:h val="6.5040061348649064E-2"/>
        </c:manualLayout>
      </c:layout>
      <c:overlay val="0"/>
      <c:txPr>
        <a:bodyPr/>
        <a:lstStyle/>
        <a:p>
          <a:pPr>
            <a:defRPr sz="1800"/>
          </a:pPr>
          <a:endParaRPr lang="en-US"/>
        </a:p>
      </c:txPr>
    </c:legend>
    <c:plotVisOnly val="1"/>
    <c:dispBlanksAs val="gap"/>
    <c:showDLblsOverMax val="0"/>
  </c:chart>
  <c:printSettings>
    <c:headerFooter/>
    <c:pageMargins b="0.75000000000000944" l="0.70000000000000062" r="0.70000000000000062" t="0.75000000000000944"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Customers Common Measures Over Time</a:t>
            </a:r>
          </a:p>
        </c:rich>
      </c:tx>
      <c:overlay val="0"/>
    </c:title>
    <c:autoTitleDeleted val="0"/>
    <c:plotArea>
      <c:layout>
        <c:manualLayout>
          <c:layoutTarget val="inner"/>
          <c:xMode val="edge"/>
          <c:yMode val="edge"/>
          <c:x val="0.12548448199412812"/>
          <c:y val="0.16579372249620891"/>
          <c:w val="0.77393180834083086"/>
          <c:h val="0.5875968463699881"/>
        </c:manualLayout>
      </c:layout>
      <c:barChart>
        <c:barDir val="col"/>
        <c:grouping val="clustered"/>
        <c:varyColors val="0"/>
        <c:ser>
          <c:idx val="1"/>
          <c:order val="1"/>
          <c:tx>
            <c:strRef>
              <c:f>'Common Measures'!$D$69</c:f>
              <c:strCache>
                <c:ptCount val="1"/>
                <c:pt idx="0">
                  <c:v>Average Earnings</c:v>
                </c:pt>
              </c:strCache>
            </c:strRef>
          </c:tx>
          <c:spPr>
            <a:solidFill>
              <a:schemeClr val="accent3">
                <a:lumMod val="75000"/>
              </a:schemeClr>
            </a:solidFill>
            <a:scene3d>
              <a:camera prst="orthographicFront"/>
              <a:lightRig rig="threePt" dir="t"/>
            </a:scene3d>
            <a:sp3d>
              <a:bevelT/>
            </a:sp3d>
          </c:spPr>
          <c:invertIfNegative val="0"/>
          <c:dLbls>
            <c:dLbl>
              <c:idx val="12"/>
              <c:showLegendKey val="0"/>
              <c:showVal val="1"/>
              <c:showCatName val="0"/>
              <c:showSerName val="0"/>
              <c:showPercent val="0"/>
              <c:showBubbleSize val="0"/>
            </c:dLbl>
            <c:spPr>
              <a:solidFill>
                <a:schemeClr val="lt1"/>
              </a:solidFill>
              <a:ln w="25400" cap="flat" cmpd="sng" algn="ctr">
                <a:solidFill>
                  <a:schemeClr val="accent3"/>
                </a:solidFill>
                <a:prstDash val="solid"/>
              </a:ln>
              <a:effectLst/>
            </c:spPr>
            <c:txPr>
              <a:bodyPr/>
              <a:lstStyle/>
              <a:p>
                <a:pPr>
                  <a:defRPr sz="1400">
                    <a:solidFill>
                      <a:schemeClr val="dk1"/>
                    </a:solidFill>
                    <a:latin typeface="+mn-lt"/>
                    <a:ea typeface="+mn-ea"/>
                    <a:cs typeface="+mn-cs"/>
                  </a:defRPr>
                </a:pPr>
                <a:endParaRPr lang="en-US"/>
              </a:p>
            </c:txPr>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Measures'!$D$77:$D$89</c:f>
              <c:numCache>
                <c:formatCode>"$"#,##0</c:formatCode>
                <c:ptCount val="13"/>
                <c:pt idx="0">
                  <c:v>14352</c:v>
                </c:pt>
                <c:pt idx="1">
                  <c:v>14403</c:v>
                </c:pt>
                <c:pt idx="2">
                  <c:v>14370</c:v>
                </c:pt>
                <c:pt idx="3">
                  <c:v>14382</c:v>
                </c:pt>
                <c:pt idx="4">
                  <c:v>14233</c:v>
                </c:pt>
                <c:pt idx="5">
                  <c:v>14114</c:v>
                </c:pt>
                <c:pt idx="6">
                  <c:v>14148</c:v>
                </c:pt>
                <c:pt idx="7">
                  <c:v>14157</c:v>
                </c:pt>
                <c:pt idx="8">
                  <c:v>14223</c:v>
                </c:pt>
                <c:pt idx="9">
                  <c:v>14339</c:v>
                </c:pt>
                <c:pt idx="10">
                  <c:v>14434</c:v>
                </c:pt>
                <c:pt idx="11">
                  <c:v>14320</c:v>
                </c:pt>
                <c:pt idx="12">
                  <c:v>14447</c:v>
                </c:pt>
              </c:numCache>
            </c:numRef>
          </c:val>
        </c:ser>
        <c:dLbls>
          <c:showLegendKey val="0"/>
          <c:showVal val="0"/>
          <c:showCatName val="0"/>
          <c:showSerName val="0"/>
          <c:showPercent val="0"/>
          <c:showBubbleSize val="0"/>
        </c:dLbls>
        <c:gapWidth val="150"/>
        <c:axId val="142845056"/>
        <c:axId val="142822784"/>
      </c:barChart>
      <c:lineChart>
        <c:grouping val="standard"/>
        <c:varyColors val="0"/>
        <c:ser>
          <c:idx val="0"/>
          <c:order val="0"/>
          <c:tx>
            <c:strRef>
              <c:f>'Common Measures'!$C$69</c:f>
              <c:strCache>
                <c:ptCount val="1"/>
                <c:pt idx="0">
                  <c:v>Entered Employment</c:v>
                </c:pt>
              </c:strCache>
            </c:strRef>
          </c:tx>
          <c:spPr>
            <a:ln w="57150">
              <a:solidFill>
                <a:schemeClr val="accent1">
                  <a:lumMod val="75000"/>
                </a:schemeClr>
              </a:solidFill>
            </a:ln>
          </c:spPr>
          <c:marker>
            <c:symbol val="none"/>
          </c:marker>
          <c:dLbls>
            <c:dLbl>
              <c:idx val="12"/>
              <c:dLblPos val="b"/>
              <c:showLegendKey val="0"/>
              <c:showVal val="1"/>
              <c:showCatName val="0"/>
              <c:showSerName val="0"/>
              <c:showPercent val="0"/>
              <c:showBubbleSize val="0"/>
            </c:dLbl>
            <c:spPr>
              <a:solidFill>
                <a:schemeClr val="lt1"/>
              </a:solidFill>
              <a:ln w="25400" cap="flat" cmpd="sng" algn="ctr">
                <a:solidFill>
                  <a:schemeClr val="accent1"/>
                </a:solidFill>
                <a:prstDash val="solid"/>
              </a:ln>
              <a:effectLst/>
            </c:spPr>
            <c:txPr>
              <a:bodyPr/>
              <a:lstStyle/>
              <a:p>
                <a:pPr>
                  <a:defRPr sz="1400">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Measures'!$C$77:$C$89</c:f>
              <c:numCache>
                <c:formatCode>0%</c:formatCode>
                <c:ptCount val="13"/>
                <c:pt idx="0">
                  <c:v>0.69720836153886689</c:v>
                </c:pt>
                <c:pt idx="1">
                  <c:v>0.68748367293625912</c:v>
                </c:pt>
                <c:pt idx="2">
                  <c:v>0.6644409294163578</c:v>
                </c:pt>
                <c:pt idx="3">
                  <c:v>0.62050102010621566</c:v>
                </c:pt>
                <c:pt idx="4">
                  <c:v>0.57360719677446481</c:v>
                </c:pt>
                <c:pt idx="5">
                  <c:v>0.53713615991776253</c:v>
                </c:pt>
                <c:pt idx="6">
                  <c:v>0.50865471498747639</c:v>
                </c:pt>
                <c:pt idx="7">
                  <c:v>0.49139417396953489</c:v>
                </c:pt>
                <c:pt idx="8">
                  <c:v>0.48946144515131129</c:v>
                </c:pt>
                <c:pt idx="9">
                  <c:v>0.49110921365103932</c:v>
                </c:pt>
                <c:pt idx="10">
                  <c:v>0.49817861729926038</c:v>
                </c:pt>
                <c:pt idx="11">
                  <c:v>0.51652970195023207</c:v>
                </c:pt>
                <c:pt idx="12">
                  <c:v>0.51652970195023207</c:v>
                </c:pt>
              </c:numCache>
            </c:numRef>
          </c:val>
          <c:smooth val="0"/>
        </c:ser>
        <c:ser>
          <c:idx val="2"/>
          <c:order val="2"/>
          <c:tx>
            <c:strRef>
              <c:f>'Common Measures'!$E$69</c:f>
              <c:strCache>
                <c:ptCount val="1"/>
                <c:pt idx="0">
                  <c:v>Retention </c:v>
                </c:pt>
              </c:strCache>
            </c:strRef>
          </c:tx>
          <c:spPr>
            <a:ln w="57150">
              <a:solidFill>
                <a:schemeClr val="accent2">
                  <a:lumMod val="75000"/>
                </a:schemeClr>
              </a:solidFill>
            </a:ln>
          </c:spPr>
          <c:marker>
            <c:symbol val="none"/>
          </c:marker>
          <c:dLbls>
            <c:dLbl>
              <c:idx val="12"/>
              <c:dLblPos val="b"/>
              <c:showLegendKey val="0"/>
              <c:showVal val="1"/>
              <c:showCatName val="0"/>
              <c:showSerName val="0"/>
              <c:showPercent val="0"/>
              <c:showBubbleSize val="0"/>
            </c:dLbl>
            <c:spPr>
              <a:solidFill>
                <a:schemeClr val="lt1"/>
              </a:solidFill>
              <a:ln w="25400" cap="flat" cmpd="sng" algn="ctr">
                <a:solidFill>
                  <a:schemeClr val="accent2"/>
                </a:solidFill>
                <a:prstDash val="solid"/>
              </a:ln>
              <a:effectLst/>
            </c:spPr>
            <c:txPr>
              <a:bodyPr/>
              <a:lstStyle/>
              <a:p>
                <a:pPr>
                  <a:defRPr sz="1400">
                    <a:solidFill>
                      <a:schemeClr val="dk1"/>
                    </a:solidFill>
                    <a:latin typeface="+mn-lt"/>
                    <a:ea typeface="+mn-ea"/>
                    <a:cs typeface="+mn-cs"/>
                  </a:defRPr>
                </a:pPr>
                <a:endParaRPr lang="en-US"/>
              </a:p>
            </c:txPr>
            <c:dLblPos val="b"/>
            <c:showLegendKey val="0"/>
            <c:showVal val="0"/>
            <c:showCatName val="0"/>
            <c:showSerName val="0"/>
            <c:showPercent val="0"/>
            <c:showBubbleSize val="0"/>
          </c:dLbls>
          <c:cat>
            <c:strRef>
              <c:f>'Common Measures'!$B$77:$B$89</c:f>
              <c:strCache>
                <c:ptCount val="13"/>
                <c:pt idx="0">
                  <c:v>2008 Q2</c:v>
                </c:pt>
                <c:pt idx="1">
                  <c:v>2008 Q3</c:v>
                </c:pt>
                <c:pt idx="2">
                  <c:v>2008 Q4</c:v>
                </c:pt>
                <c:pt idx="3">
                  <c:v>2009 Q1</c:v>
                </c:pt>
                <c:pt idx="4">
                  <c:v>2009 Q2</c:v>
                </c:pt>
                <c:pt idx="5">
                  <c:v>2009 Q3</c:v>
                </c:pt>
                <c:pt idx="6">
                  <c:v>2009 Q4</c:v>
                </c:pt>
                <c:pt idx="7">
                  <c:v>2010 Q1</c:v>
                </c:pt>
                <c:pt idx="8">
                  <c:v>2010 Q2</c:v>
                </c:pt>
                <c:pt idx="9">
                  <c:v>2010 Q3</c:v>
                </c:pt>
                <c:pt idx="10">
                  <c:v>2010 Q4</c:v>
                </c:pt>
                <c:pt idx="11">
                  <c:v>2011 Q1</c:v>
                </c:pt>
                <c:pt idx="12">
                  <c:v>2011 Q2</c:v>
                </c:pt>
              </c:strCache>
            </c:strRef>
          </c:cat>
          <c:val>
            <c:numRef>
              <c:f>'Common Measures'!$E$77:$E$89</c:f>
              <c:numCache>
                <c:formatCode>0%</c:formatCode>
                <c:ptCount val="13"/>
                <c:pt idx="0">
                  <c:v>0.83</c:v>
                </c:pt>
                <c:pt idx="1">
                  <c:v>0.83</c:v>
                </c:pt>
                <c:pt idx="2">
                  <c:v>0.82</c:v>
                </c:pt>
                <c:pt idx="3">
                  <c:v>0.81</c:v>
                </c:pt>
                <c:pt idx="4">
                  <c:v>0.79</c:v>
                </c:pt>
                <c:pt idx="5">
                  <c:v>0.78</c:v>
                </c:pt>
                <c:pt idx="6">
                  <c:v>0.77</c:v>
                </c:pt>
                <c:pt idx="7">
                  <c:v>0.76</c:v>
                </c:pt>
                <c:pt idx="8">
                  <c:v>0.77</c:v>
                </c:pt>
                <c:pt idx="9">
                  <c:v>0.77</c:v>
                </c:pt>
                <c:pt idx="10">
                  <c:v>0.78</c:v>
                </c:pt>
                <c:pt idx="11">
                  <c:v>0.78</c:v>
                </c:pt>
                <c:pt idx="12">
                  <c:v>0.79</c:v>
                </c:pt>
              </c:numCache>
            </c:numRef>
          </c:val>
          <c:smooth val="0"/>
        </c:ser>
        <c:dLbls>
          <c:showLegendKey val="0"/>
          <c:showVal val="0"/>
          <c:showCatName val="0"/>
          <c:showSerName val="0"/>
          <c:showPercent val="0"/>
          <c:showBubbleSize val="0"/>
        </c:dLbls>
        <c:marker val="1"/>
        <c:smooth val="0"/>
        <c:axId val="142821248"/>
        <c:axId val="142819712"/>
      </c:lineChart>
      <c:valAx>
        <c:axId val="142819712"/>
        <c:scaling>
          <c:orientation val="minMax"/>
          <c:max val="1"/>
          <c:min val="0"/>
        </c:scaling>
        <c:delete val="0"/>
        <c:axPos val="r"/>
        <c:numFmt formatCode="0%" sourceLinked="1"/>
        <c:majorTickMark val="out"/>
        <c:minorTickMark val="none"/>
        <c:tickLblPos val="nextTo"/>
        <c:crossAx val="142821248"/>
        <c:crosses val="max"/>
        <c:crossBetween val="between"/>
        <c:majorUnit val="0.2"/>
      </c:valAx>
      <c:catAx>
        <c:axId val="142821248"/>
        <c:scaling>
          <c:orientation val="minMax"/>
        </c:scaling>
        <c:delete val="0"/>
        <c:axPos val="b"/>
        <c:majorTickMark val="out"/>
        <c:minorTickMark val="none"/>
        <c:tickLblPos val="nextTo"/>
        <c:crossAx val="142819712"/>
        <c:crosses val="autoZero"/>
        <c:auto val="1"/>
        <c:lblAlgn val="ctr"/>
        <c:lblOffset val="100"/>
        <c:noMultiLvlLbl val="0"/>
      </c:catAx>
      <c:valAx>
        <c:axId val="142822784"/>
        <c:scaling>
          <c:orientation val="minMax"/>
          <c:min val="0"/>
        </c:scaling>
        <c:delete val="0"/>
        <c:axPos val="l"/>
        <c:numFmt formatCode="&quot;$&quot;#,##0" sourceLinked="1"/>
        <c:majorTickMark val="out"/>
        <c:minorTickMark val="none"/>
        <c:tickLblPos val="nextTo"/>
        <c:crossAx val="142845056"/>
        <c:crosses val="autoZero"/>
        <c:crossBetween val="between"/>
      </c:valAx>
      <c:catAx>
        <c:axId val="142845056"/>
        <c:scaling>
          <c:orientation val="minMax"/>
        </c:scaling>
        <c:delete val="1"/>
        <c:axPos val="b"/>
        <c:majorTickMark val="out"/>
        <c:minorTickMark val="none"/>
        <c:tickLblPos val="none"/>
        <c:crossAx val="142822784"/>
        <c:crosses val="autoZero"/>
        <c:auto val="1"/>
        <c:lblAlgn val="ctr"/>
        <c:lblOffset val="100"/>
        <c:noMultiLvlLbl val="0"/>
      </c:catAx>
    </c:plotArea>
    <c:legend>
      <c:legendPos val="b"/>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266" l="0.70000000000000062" r="0.70000000000000062" t="0.75000000000000266"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Wagner-Peyser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Measures'!$C$34:$C$36</c:f>
              <c:numCache>
                <c:formatCode>0.0%</c:formatCode>
                <c:ptCount val="3"/>
                <c:pt idx="0">
                  <c:v>0.5</c:v>
                </c:pt>
                <c:pt idx="1">
                  <c:v>0.78</c:v>
                </c:pt>
              </c:numCache>
            </c:numRef>
          </c:val>
        </c:ser>
        <c:dLbls>
          <c:showLegendKey val="0"/>
          <c:showVal val="0"/>
          <c:showCatName val="0"/>
          <c:showSerName val="0"/>
          <c:showPercent val="0"/>
          <c:showBubbleSize val="0"/>
        </c:dLbls>
        <c:gapWidth val="150"/>
        <c:axId val="143651968"/>
        <c:axId val="143653504"/>
      </c:barChart>
      <c:barChart>
        <c:barDir val="col"/>
        <c:grouping val="clustered"/>
        <c:varyColors val="0"/>
        <c:ser>
          <c:idx val="1"/>
          <c:order val="1"/>
          <c:tx>
            <c:strRef>
              <c:f>'Common Measures'!$D$33</c:f>
              <c:strCache>
                <c:ptCount val="1"/>
                <c:pt idx="0">
                  <c:v>Actual $</c:v>
                </c:pt>
              </c:strCache>
            </c:strRef>
          </c:tx>
          <c:invertIfNegative val="0"/>
          <c:dLbls>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Measures'!$D$34:$D$36</c:f>
              <c:numCache>
                <c:formatCode>General</c:formatCode>
                <c:ptCount val="3"/>
                <c:pt idx="2" formatCode="&quot;$&quot;#,##0">
                  <c:v>13751</c:v>
                </c:pt>
              </c:numCache>
            </c:numRef>
          </c:val>
        </c:ser>
        <c:dLbls>
          <c:showLegendKey val="0"/>
          <c:showVal val="0"/>
          <c:showCatName val="0"/>
          <c:showSerName val="0"/>
          <c:showPercent val="0"/>
          <c:showBubbleSize val="0"/>
        </c:dLbls>
        <c:gapWidth val="150"/>
        <c:axId val="143267712"/>
        <c:axId val="143266176"/>
      </c:barChart>
      <c:scatterChart>
        <c:scatterStyle val="lineMarker"/>
        <c:varyColors val="0"/>
        <c:ser>
          <c:idx val="2"/>
          <c:order val="2"/>
          <c:tx>
            <c:strRef>
              <c:f>'Common Measures'!$E$33</c:f>
              <c:strCache>
                <c:ptCount val="1"/>
                <c:pt idx="0">
                  <c:v>Target</c:v>
                </c:pt>
              </c:strCache>
            </c:strRef>
          </c:tx>
          <c:spPr>
            <a:ln w="28575">
              <a:noFill/>
            </a:ln>
          </c:spPr>
          <c:marker>
            <c:symbol val="dash"/>
            <c:size val="30"/>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Measures'!$E$34:$E$36</c:f>
              <c:numCache>
                <c:formatCode>0.00%</c:formatCode>
                <c:ptCount val="3"/>
                <c:pt idx="0">
                  <c:v>0.52</c:v>
                </c:pt>
                <c:pt idx="1">
                  <c:v>0.76600000000000001</c:v>
                </c:pt>
              </c:numCache>
            </c:numRef>
          </c:yVal>
          <c:smooth val="0"/>
        </c:ser>
        <c:dLbls>
          <c:showLegendKey val="0"/>
          <c:showVal val="0"/>
          <c:showCatName val="0"/>
          <c:showSerName val="0"/>
          <c:showPercent val="0"/>
          <c:showBubbleSize val="0"/>
        </c:dLbls>
        <c:axId val="143651968"/>
        <c:axId val="143653504"/>
      </c:scatterChart>
      <c:scatterChart>
        <c:scatterStyle val="lineMarker"/>
        <c:varyColors val="0"/>
        <c:ser>
          <c:idx val="3"/>
          <c:order val="3"/>
          <c:tx>
            <c:strRef>
              <c:f>'Common Measures'!$F$33</c:f>
              <c:strCache>
                <c:ptCount val="1"/>
                <c:pt idx="0">
                  <c:v>Target $</c:v>
                </c:pt>
              </c:strCache>
            </c:strRef>
          </c:tx>
          <c:spPr>
            <a:ln w="28575">
              <a:noFill/>
            </a:ln>
          </c:spPr>
          <c:marker>
            <c:symbol val="dash"/>
            <c:size val="30"/>
            <c:spPr>
              <a:solidFill>
                <a:srgbClr val="9BBB59">
                  <a:lumMod val="75000"/>
                </a:srgbClr>
              </a:solidFill>
              <a:ln w="0">
                <a:noFill/>
              </a:ln>
            </c:spPr>
          </c:marker>
          <c:dLbls>
            <c:dLblPos val="l"/>
            <c:showLegendKey val="0"/>
            <c:showVal val="1"/>
            <c:showCatName val="0"/>
            <c:showSerName val="0"/>
            <c:showPercent val="0"/>
            <c:showBubbleSize val="0"/>
            <c:showLeaderLines val="0"/>
          </c:dLbls>
          <c:xVal>
            <c:strRef>
              <c:f>'Common Measures'!$B$34:$B$36</c:f>
              <c:strCache>
                <c:ptCount val="3"/>
                <c:pt idx="0">
                  <c:v>Entered Employment</c:v>
                </c:pt>
                <c:pt idx="1">
                  <c:v>Retention Rate</c:v>
                </c:pt>
                <c:pt idx="2">
                  <c:v>Average Earnings</c:v>
                </c:pt>
              </c:strCache>
            </c:strRef>
          </c:xVal>
          <c:yVal>
            <c:numRef>
              <c:f>'Common Measures'!$F$34:$F$36</c:f>
              <c:numCache>
                <c:formatCode>General</c:formatCode>
                <c:ptCount val="3"/>
                <c:pt idx="2" formatCode="&quot;$&quot;#,##0">
                  <c:v>13500</c:v>
                </c:pt>
              </c:numCache>
            </c:numRef>
          </c:yVal>
          <c:smooth val="0"/>
        </c:ser>
        <c:dLbls>
          <c:showLegendKey val="0"/>
          <c:showVal val="0"/>
          <c:showCatName val="0"/>
          <c:showSerName val="0"/>
          <c:showPercent val="0"/>
          <c:showBubbleSize val="0"/>
        </c:dLbls>
        <c:axId val="143267712"/>
        <c:axId val="143266176"/>
      </c:scatterChart>
      <c:catAx>
        <c:axId val="143651968"/>
        <c:scaling>
          <c:orientation val="minMax"/>
        </c:scaling>
        <c:delete val="0"/>
        <c:axPos val="b"/>
        <c:majorTickMark val="out"/>
        <c:minorTickMark val="none"/>
        <c:tickLblPos val="nextTo"/>
        <c:crossAx val="143653504"/>
        <c:crosses val="autoZero"/>
        <c:auto val="1"/>
        <c:lblAlgn val="ctr"/>
        <c:lblOffset val="100"/>
        <c:noMultiLvlLbl val="0"/>
      </c:catAx>
      <c:valAx>
        <c:axId val="143653504"/>
        <c:scaling>
          <c:orientation val="minMax"/>
          <c:max val="1"/>
        </c:scaling>
        <c:delete val="0"/>
        <c:axPos val="l"/>
        <c:majorGridlines/>
        <c:numFmt formatCode="0%" sourceLinked="0"/>
        <c:majorTickMark val="out"/>
        <c:minorTickMark val="none"/>
        <c:tickLblPos val="nextTo"/>
        <c:crossAx val="143651968"/>
        <c:crosses val="autoZero"/>
        <c:crossBetween val="between"/>
      </c:valAx>
      <c:valAx>
        <c:axId val="143266176"/>
        <c:scaling>
          <c:orientation val="minMax"/>
          <c:min val="0"/>
        </c:scaling>
        <c:delete val="0"/>
        <c:axPos val="r"/>
        <c:numFmt formatCode="&quot;$&quot;#,##0" sourceLinked="0"/>
        <c:majorTickMark val="out"/>
        <c:minorTickMark val="none"/>
        <c:tickLblPos val="nextTo"/>
        <c:crossAx val="143267712"/>
        <c:crosses val="max"/>
        <c:crossBetween val="between"/>
      </c:valAx>
      <c:catAx>
        <c:axId val="143267712"/>
        <c:scaling>
          <c:orientation val="minMax"/>
        </c:scaling>
        <c:delete val="1"/>
        <c:axPos val="b"/>
        <c:majorTickMark val="out"/>
        <c:minorTickMark val="none"/>
        <c:tickLblPos val="none"/>
        <c:crossAx val="143266176"/>
        <c:crosses val="autoZero"/>
        <c:auto val="1"/>
        <c:lblAlgn val="ctr"/>
        <c:lblOffset val="100"/>
        <c:noMultiLvlLbl val="0"/>
      </c:catAx>
    </c:plotArea>
    <c:legend>
      <c:legendPos val="t"/>
      <c:legendEntry>
        <c:idx val="1"/>
        <c:delete val="1"/>
      </c:legendEntry>
      <c:legendEntry>
        <c:idx val="3"/>
        <c:delete val="1"/>
      </c:legendEntry>
      <c:overlay val="0"/>
    </c:legend>
    <c:plotVisOnly val="1"/>
    <c:dispBlanksAs val="gap"/>
    <c:showDLblsOverMax val="0"/>
  </c:chart>
  <c:printSettings>
    <c:headerFooter/>
    <c:pageMargins b="0.75000000000000921" l="0.70000000000000062" r="0.70000000000000062" t="0.7500000000000092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All Customers Common Measures Over Time</a:t>
            </a:r>
          </a:p>
        </c:rich>
      </c:tx>
      <c:layout>
        <c:manualLayout>
          <c:xMode val="edge"/>
          <c:yMode val="edge"/>
          <c:x val="0.29076177179635782"/>
          <c:y val="0"/>
        </c:manualLayout>
      </c:layout>
      <c:overlay val="0"/>
    </c:title>
    <c:autoTitleDeleted val="0"/>
    <c:plotArea>
      <c:layout/>
      <c:barChart>
        <c:barDir val="col"/>
        <c:grouping val="clustered"/>
        <c:varyColors val="0"/>
        <c:ser>
          <c:idx val="2"/>
          <c:order val="2"/>
          <c:tx>
            <c:strRef>
              <c:f>'Common Measures'!$B$142</c:f>
              <c:strCache>
                <c:ptCount val="1"/>
                <c:pt idx="0">
                  <c:v>Average Earnings</c:v>
                </c:pt>
              </c:strCache>
            </c:strRef>
          </c:tx>
          <c:spPr>
            <a:solidFill>
              <a:srgbClr val="C0504D">
                <a:lumMod val="75000"/>
              </a:srgbClr>
            </a:solidFill>
            <a:ln>
              <a:noFill/>
            </a:ln>
            <a:effectLst/>
            <a:scene3d>
              <a:camera prst="orthographicFront"/>
              <a:lightRig rig="threePt" dir="t"/>
            </a:scene3d>
            <a:sp3d/>
          </c:spPr>
          <c:invertIfNegative val="0"/>
          <c:cat>
            <c:strRef>
              <c:f>'Common Measures'!$C$139:$H$139</c:f>
              <c:strCache>
                <c:ptCount val="6"/>
                <c:pt idx="0">
                  <c:v>PY10 Q1</c:v>
                </c:pt>
                <c:pt idx="1">
                  <c:v>PY10 Q2</c:v>
                </c:pt>
                <c:pt idx="2">
                  <c:v>PY10 Q3</c:v>
                </c:pt>
                <c:pt idx="3">
                  <c:v>PY10 Q4</c:v>
                </c:pt>
                <c:pt idx="4">
                  <c:v>PY11 Q1</c:v>
                </c:pt>
                <c:pt idx="5">
                  <c:v>PY11 Q2</c:v>
                </c:pt>
              </c:strCache>
            </c:strRef>
          </c:cat>
          <c:val>
            <c:numRef>
              <c:f>'Common Measures'!$C$142:$H$142</c:f>
              <c:numCache>
                <c:formatCode>"$"#,##0.00</c:formatCode>
                <c:ptCount val="6"/>
                <c:pt idx="0">
                  <c:v>13889</c:v>
                </c:pt>
                <c:pt idx="1">
                  <c:v>13691</c:v>
                </c:pt>
                <c:pt idx="2">
                  <c:v>13746</c:v>
                </c:pt>
                <c:pt idx="3">
                  <c:v>13805</c:v>
                </c:pt>
                <c:pt idx="4">
                  <c:v>13703</c:v>
                </c:pt>
                <c:pt idx="5">
                  <c:v>13751</c:v>
                </c:pt>
              </c:numCache>
            </c:numRef>
          </c:val>
        </c:ser>
        <c:dLbls>
          <c:showLegendKey val="0"/>
          <c:showVal val="0"/>
          <c:showCatName val="0"/>
          <c:showSerName val="0"/>
          <c:showPercent val="0"/>
          <c:showBubbleSize val="0"/>
        </c:dLbls>
        <c:gapWidth val="150"/>
        <c:axId val="143529472"/>
        <c:axId val="143531008"/>
      </c:barChart>
      <c:lineChart>
        <c:grouping val="standard"/>
        <c:varyColors val="0"/>
        <c:ser>
          <c:idx val="0"/>
          <c:order val="0"/>
          <c:tx>
            <c:strRef>
              <c:f>'Common Measures'!$B$140</c:f>
              <c:strCache>
                <c:ptCount val="1"/>
                <c:pt idx="0">
                  <c:v>Entered Employment</c:v>
                </c:pt>
              </c:strCache>
            </c:strRef>
          </c:tx>
          <c:spPr>
            <a:ln w="57150"/>
          </c:spPr>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0.48</c:v>
                </c:pt>
                <c:pt idx="1">
                  <c:v>0.48</c:v>
                </c:pt>
                <c:pt idx="2">
                  <c:v>0.48</c:v>
                </c:pt>
                <c:pt idx="3">
                  <c:v>0.48</c:v>
                </c:pt>
                <c:pt idx="4">
                  <c:v>0.5</c:v>
                </c:pt>
                <c:pt idx="5">
                  <c:v>0.5</c:v>
                </c:pt>
              </c:numCache>
            </c:numRef>
          </c:val>
          <c:smooth val="0"/>
        </c:ser>
        <c:ser>
          <c:idx val="1"/>
          <c:order val="1"/>
          <c:tx>
            <c:strRef>
              <c:f>'Common Measures'!$B$141</c:f>
              <c:strCache>
                <c:ptCount val="1"/>
                <c:pt idx="0">
                  <c:v>Retention Rate</c:v>
                </c:pt>
              </c:strCache>
            </c:strRef>
          </c:tx>
          <c:spPr>
            <a:ln w="57150">
              <a:solidFill>
                <a:srgbClr val="9BBB59">
                  <a:lumMod val="75000"/>
                </a:srgbClr>
              </a:solidFill>
            </a:ln>
          </c:spPr>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0.76</c:v>
                </c:pt>
                <c:pt idx="2">
                  <c:v>0.77</c:v>
                </c:pt>
                <c:pt idx="3">
                  <c:v>0.77</c:v>
                </c:pt>
                <c:pt idx="4">
                  <c:v>0.78</c:v>
                </c:pt>
                <c:pt idx="5">
                  <c:v>0.78</c:v>
                </c:pt>
              </c:numCache>
            </c:numRef>
          </c:val>
          <c:smooth val="0"/>
        </c:ser>
        <c:dLbls>
          <c:showLegendKey val="0"/>
          <c:showVal val="0"/>
          <c:showCatName val="0"/>
          <c:showSerName val="0"/>
          <c:showPercent val="0"/>
          <c:showBubbleSize val="0"/>
        </c:dLbls>
        <c:marker val="1"/>
        <c:smooth val="0"/>
        <c:axId val="143542528"/>
        <c:axId val="143540992"/>
      </c:lineChart>
      <c:catAx>
        <c:axId val="143529472"/>
        <c:scaling>
          <c:orientation val="minMax"/>
        </c:scaling>
        <c:delete val="0"/>
        <c:axPos val="b"/>
        <c:majorTickMark val="out"/>
        <c:minorTickMark val="none"/>
        <c:tickLblPos val="nextTo"/>
        <c:txPr>
          <a:bodyPr/>
          <a:lstStyle/>
          <a:p>
            <a:pPr>
              <a:defRPr sz="1400"/>
            </a:pPr>
            <a:endParaRPr lang="en-US"/>
          </a:p>
        </c:txPr>
        <c:crossAx val="143531008"/>
        <c:crosses val="autoZero"/>
        <c:auto val="1"/>
        <c:lblAlgn val="ctr"/>
        <c:lblOffset val="100"/>
        <c:noMultiLvlLbl val="0"/>
      </c:catAx>
      <c:valAx>
        <c:axId val="143531008"/>
        <c:scaling>
          <c:orientation val="minMax"/>
          <c:max val="1"/>
        </c:scaling>
        <c:delete val="0"/>
        <c:axPos val="l"/>
        <c:majorGridlines/>
        <c:numFmt formatCode="&quot;$&quot;#,##0.00" sourceLinked="1"/>
        <c:majorTickMark val="out"/>
        <c:minorTickMark val="none"/>
        <c:tickLblPos val="nextTo"/>
        <c:crossAx val="143529472"/>
        <c:crosses val="autoZero"/>
        <c:crossBetween val="between"/>
        <c:majorUnit val="0.25"/>
      </c:valAx>
      <c:valAx>
        <c:axId val="143540992"/>
        <c:scaling>
          <c:orientation val="minMax"/>
        </c:scaling>
        <c:delete val="0"/>
        <c:axPos val="r"/>
        <c:numFmt formatCode="0%" sourceLinked="1"/>
        <c:majorTickMark val="out"/>
        <c:minorTickMark val="none"/>
        <c:tickLblPos val="nextTo"/>
        <c:crossAx val="143542528"/>
        <c:crosses val="max"/>
        <c:crossBetween val="between"/>
      </c:valAx>
      <c:catAx>
        <c:axId val="143542528"/>
        <c:scaling>
          <c:orientation val="minMax"/>
        </c:scaling>
        <c:delete val="1"/>
        <c:axPos val="b"/>
        <c:majorTickMark val="out"/>
        <c:minorTickMark val="none"/>
        <c:tickLblPos val="none"/>
        <c:crossAx val="143540992"/>
        <c:crosses val="autoZero"/>
        <c:auto val="1"/>
        <c:lblAlgn val="ctr"/>
        <c:lblOffset val="100"/>
        <c:noMultiLvlLbl val="0"/>
      </c:catAx>
    </c:plotArea>
    <c:legend>
      <c:legendPos val="b"/>
      <c:layout>
        <c:manualLayout>
          <c:xMode val="edge"/>
          <c:yMode val="edge"/>
          <c:x val="1.3880625403033428E-2"/>
          <c:y val="0.79483805706994404"/>
          <c:w val="0.97707448294165833"/>
          <c:h val="0.18070779670067996"/>
        </c:manualLayout>
      </c:layout>
      <c:overlay val="0"/>
      <c:txPr>
        <a:bodyPr/>
        <a:lstStyle/>
        <a:p>
          <a:pPr>
            <a:defRPr sz="1400"/>
          </a:pPr>
          <a:endParaRPr lang="en-US"/>
        </a:p>
      </c:txPr>
    </c:legend>
    <c:plotVisOnly val="1"/>
    <c:dispBlanksAs val="gap"/>
    <c:showDLblsOverMax val="0"/>
  </c:chart>
  <c:spPr>
    <a:noFill/>
    <a:ln>
      <a:solidFill>
        <a:sysClr val="windowText" lastClr="000000"/>
      </a:solidFill>
    </a:ln>
  </c:spPr>
  <c:printSettings>
    <c:headerFooter/>
    <c:pageMargins b="0.75000000000000322" l="0.70000000000000062" r="0.70000000000000062" t="0.75000000000000322"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2"/>
          <c:tx>
            <c:strRef>
              <c:f>'Common Measures'!$B$142</c:f>
              <c:strCache>
                <c:ptCount val="1"/>
                <c:pt idx="0">
                  <c:v>Average Earnings</c:v>
                </c:pt>
              </c:strCache>
            </c:strRef>
          </c:tx>
          <c:invertIfNegative val="0"/>
          <c:cat>
            <c:strRef>
              <c:f>'Common Measures'!$C$139:$H$139</c:f>
              <c:strCache>
                <c:ptCount val="6"/>
                <c:pt idx="0">
                  <c:v>PY10 Q1</c:v>
                </c:pt>
                <c:pt idx="1">
                  <c:v>PY10 Q2</c:v>
                </c:pt>
                <c:pt idx="2">
                  <c:v>PY10 Q3</c:v>
                </c:pt>
                <c:pt idx="3">
                  <c:v>PY10 Q4</c:v>
                </c:pt>
                <c:pt idx="4">
                  <c:v>PY11 Q1</c:v>
                </c:pt>
                <c:pt idx="5">
                  <c:v>PY11 Q2</c:v>
                </c:pt>
              </c:strCache>
            </c:strRef>
          </c:cat>
          <c:val>
            <c:numRef>
              <c:f>'Common Measures'!$C$142:$H$142</c:f>
              <c:numCache>
                <c:formatCode>"$"#,##0.00</c:formatCode>
                <c:ptCount val="6"/>
                <c:pt idx="0">
                  <c:v>13889</c:v>
                </c:pt>
                <c:pt idx="1">
                  <c:v>13691</c:v>
                </c:pt>
                <c:pt idx="2">
                  <c:v>13746</c:v>
                </c:pt>
                <c:pt idx="3">
                  <c:v>13805</c:v>
                </c:pt>
                <c:pt idx="4">
                  <c:v>13703</c:v>
                </c:pt>
                <c:pt idx="5">
                  <c:v>13751</c:v>
                </c:pt>
              </c:numCache>
            </c:numRef>
          </c:val>
        </c:ser>
        <c:dLbls>
          <c:showLegendKey val="0"/>
          <c:showVal val="0"/>
          <c:showCatName val="0"/>
          <c:showSerName val="0"/>
          <c:showPercent val="0"/>
          <c:showBubbleSize val="0"/>
        </c:dLbls>
        <c:gapWidth val="150"/>
        <c:axId val="143587200"/>
        <c:axId val="143585664"/>
      </c:barChart>
      <c:lineChart>
        <c:grouping val="standard"/>
        <c:varyColors val="0"/>
        <c:ser>
          <c:idx val="0"/>
          <c:order val="0"/>
          <c:tx>
            <c:strRef>
              <c:f>'Common Measures'!$B$140</c:f>
              <c:strCache>
                <c:ptCount val="1"/>
                <c:pt idx="0">
                  <c:v>Entered Employment</c:v>
                </c:pt>
              </c:strCache>
            </c:strRef>
          </c:tx>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Measures'!$C$140:$H$140</c:f>
              <c:numCache>
                <c:formatCode>0%</c:formatCode>
                <c:ptCount val="6"/>
                <c:pt idx="0">
                  <c:v>0.48</c:v>
                </c:pt>
                <c:pt idx="1">
                  <c:v>0.48</c:v>
                </c:pt>
                <c:pt idx="2">
                  <c:v>0.48</c:v>
                </c:pt>
                <c:pt idx="3">
                  <c:v>0.48</c:v>
                </c:pt>
                <c:pt idx="4">
                  <c:v>0.5</c:v>
                </c:pt>
                <c:pt idx="5">
                  <c:v>0.5</c:v>
                </c:pt>
              </c:numCache>
            </c:numRef>
          </c:val>
          <c:smooth val="0"/>
        </c:ser>
        <c:ser>
          <c:idx val="1"/>
          <c:order val="1"/>
          <c:tx>
            <c:strRef>
              <c:f>'Common Measures'!$B$141</c:f>
              <c:strCache>
                <c:ptCount val="1"/>
                <c:pt idx="0">
                  <c:v>Retention Rate</c:v>
                </c:pt>
              </c:strCache>
            </c:strRef>
          </c:tx>
          <c:marker>
            <c:symbol val="none"/>
          </c:marker>
          <c:cat>
            <c:strRef>
              <c:f>'Common Measures'!$C$139:$H$139</c:f>
              <c:strCache>
                <c:ptCount val="6"/>
                <c:pt idx="0">
                  <c:v>PY10 Q1</c:v>
                </c:pt>
                <c:pt idx="1">
                  <c:v>PY10 Q2</c:v>
                </c:pt>
                <c:pt idx="2">
                  <c:v>PY10 Q3</c:v>
                </c:pt>
                <c:pt idx="3">
                  <c:v>PY10 Q4</c:v>
                </c:pt>
                <c:pt idx="4">
                  <c:v>PY11 Q1</c:v>
                </c:pt>
                <c:pt idx="5">
                  <c:v>PY11 Q2</c:v>
                </c:pt>
              </c:strCache>
            </c:strRef>
          </c:cat>
          <c:val>
            <c:numRef>
              <c:f>'Common Measures'!$C$141:$H$141</c:f>
              <c:numCache>
                <c:formatCode>0%</c:formatCode>
                <c:ptCount val="6"/>
                <c:pt idx="0">
                  <c:v>0.76</c:v>
                </c:pt>
                <c:pt idx="1">
                  <c:v>0.76</c:v>
                </c:pt>
                <c:pt idx="2">
                  <c:v>0.77</c:v>
                </c:pt>
                <c:pt idx="3">
                  <c:v>0.77</c:v>
                </c:pt>
                <c:pt idx="4">
                  <c:v>0.78</c:v>
                </c:pt>
                <c:pt idx="5">
                  <c:v>0.78</c:v>
                </c:pt>
              </c:numCache>
            </c:numRef>
          </c:val>
          <c:smooth val="0"/>
        </c:ser>
        <c:dLbls>
          <c:showLegendKey val="0"/>
          <c:showVal val="0"/>
          <c:showCatName val="0"/>
          <c:showSerName val="0"/>
          <c:showPercent val="0"/>
          <c:showBubbleSize val="0"/>
        </c:dLbls>
        <c:marker val="1"/>
        <c:smooth val="0"/>
        <c:axId val="143582336"/>
        <c:axId val="143583872"/>
      </c:lineChart>
      <c:catAx>
        <c:axId val="143582336"/>
        <c:scaling>
          <c:orientation val="minMax"/>
        </c:scaling>
        <c:delete val="0"/>
        <c:axPos val="b"/>
        <c:majorTickMark val="out"/>
        <c:minorTickMark val="none"/>
        <c:tickLblPos val="nextTo"/>
        <c:crossAx val="143583872"/>
        <c:crosses val="autoZero"/>
        <c:auto val="1"/>
        <c:lblAlgn val="ctr"/>
        <c:lblOffset val="100"/>
        <c:noMultiLvlLbl val="0"/>
      </c:catAx>
      <c:valAx>
        <c:axId val="143583872"/>
        <c:scaling>
          <c:orientation val="minMax"/>
        </c:scaling>
        <c:delete val="0"/>
        <c:axPos val="l"/>
        <c:majorGridlines/>
        <c:numFmt formatCode="0%" sourceLinked="1"/>
        <c:majorTickMark val="out"/>
        <c:minorTickMark val="none"/>
        <c:tickLblPos val="nextTo"/>
        <c:crossAx val="143582336"/>
        <c:crosses val="autoZero"/>
        <c:crossBetween val="between"/>
      </c:valAx>
      <c:valAx>
        <c:axId val="143585664"/>
        <c:scaling>
          <c:orientation val="minMax"/>
        </c:scaling>
        <c:delete val="0"/>
        <c:axPos val="r"/>
        <c:numFmt formatCode="&quot;$&quot;#,##0.00" sourceLinked="1"/>
        <c:majorTickMark val="out"/>
        <c:minorTickMark val="none"/>
        <c:tickLblPos val="nextTo"/>
        <c:crossAx val="143587200"/>
        <c:crosses val="max"/>
        <c:crossBetween val="between"/>
      </c:valAx>
      <c:catAx>
        <c:axId val="143587200"/>
        <c:scaling>
          <c:orientation val="minMax"/>
        </c:scaling>
        <c:delete val="1"/>
        <c:axPos val="b"/>
        <c:majorTickMark val="out"/>
        <c:minorTickMark val="none"/>
        <c:tickLblPos val="none"/>
        <c:crossAx val="143585664"/>
        <c:crosses val="autoZero"/>
        <c:auto val="1"/>
        <c:lblAlgn val="ctr"/>
        <c:lblOffset val="100"/>
        <c:noMultiLvlLbl val="0"/>
      </c:catAx>
    </c:plotArea>
    <c:legend>
      <c:legendPos val="b"/>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Customer Demographic Comparison</a:t>
            </a:r>
          </a:p>
        </c:rich>
      </c:tx>
      <c:overlay val="1"/>
    </c:title>
    <c:autoTitleDeleted val="0"/>
    <c:plotArea>
      <c:layout>
        <c:manualLayout>
          <c:layoutTarget val="inner"/>
          <c:xMode val="edge"/>
          <c:yMode val="edge"/>
          <c:x val="0.10276723222097373"/>
          <c:y val="0.14773112975164809"/>
          <c:w val="0.85479451787276595"/>
          <c:h val="0.52168630678457362"/>
        </c:manualLayout>
      </c:layout>
      <c:barChart>
        <c:barDir val="col"/>
        <c:grouping val="clustered"/>
        <c:varyColors val="0"/>
        <c:ser>
          <c:idx val="0"/>
          <c:order val="0"/>
          <c:tx>
            <c:strRef>
              <c:f>'Area Data'!$G$26</c:f>
              <c:strCache>
                <c:ptCount val="1"/>
                <c:pt idx="0">
                  <c:v>% of Population</c:v>
                </c:pt>
              </c:strCache>
            </c:strRef>
          </c:tx>
          <c:invertIfNegative val="0"/>
          <c:dLbls>
            <c:txPr>
              <a:bodyPr/>
              <a:lstStyle/>
              <a:p>
                <a:pPr>
                  <a:defRPr sz="1400"/>
                </a:pPr>
                <a:endParaRPr lang="en-US"/>
              </a:p>
            </c:txPr>
            <c:showLegendKey val="0"/>
            <c:showVal val="1"/>
            <c:showCatName val="0"/>
            <c:showSerName val="0"/>
            <c:showPercent val="0"/>
            <c:showBubbleSize val="0"/>
            <c:showLeaderLines val="0"/>
          </c:dLbls>
          <c:cat>
            <c:strRef>
              <c:f>'Area Data'!$F$28:$F$32</c:f>
              <c:strCache>
                <c:ptCount val="5"/>
                <c:pt idx="0">
                  <c:v>Male</c:v>
                </c:pt>
                <c:pt idx="1">
                  <c:v>Female</c:v>
                </c:pt>
                <c:pt idx="2">
                  <c:v>Protected Class</c:v>
                </c:pt>
                <c:pt idx="3">
                  <c:v>Over 55</c:v>
                </c:pt>
                <c:pt idx="4">
                  <c:v>With Disability</c:v>
                </c:pt>
              </c:strCache>
            </c:strRef>
          </c:cat>
          <c:val>
            <c:numRef>
              <c:f>'State Data'!$G$27:$G$31</c:f>
              <c:numCache>
                <c:formatCode>0%</c:formatCode>
                <c:ptCount val="5"/>
                <c:pt idx="0">
                  <c:v>0.49813176812094212</c:v>
                </c:pt>
                <c:pt idx="1">
                  <c:v>0.50186823187905794</c:v>
                </c:pt>
                <c:pt idx="2">
                  <c:v>0.22725390881755481</c:v>
                </c:pt>
                <c:pt idx="3">
                  <c:v>0.13163249828241039</c:v>
                </c:pt>
                <c:pt idx="4">
                  <c:v>0.11999988103275466</c:v>
                </c:pt>
              </c:numCache>
            </c:numRef>
          </c:val>
        </c:ser>
        <c:ser>
          <c:idx val="1"/>
          <c:order val="1"/>
          <c:tx>
            <c:strRef>
              <c:f>'Area Data'!$H$26</c:f>
              <c:strCache>
                <c:ptCount val="1"/>
                <c:pt idx="0">
                  <c:v>% Of Staff Assisted</c:v>
                </c:pt>
              </c:strCache>
            </c:strRef>
          </c:tx>
          <c:invertIfNegative val="0"/>
          <c:dLbls>
            <c:delete val="1"/>
          </c:dLbls>
          <c:cat>
            <c:strRef>
              <c:f>'Area Data'!$F$28:$F$32</c:f>
              <c:strCache>
                <c:ptCount val="5"/>
                <c:pt idx="0">
                  <c:v>Male</c:v>
                </c:pt>
                <c:pt idx="1">
                  <c:v>Female</c:v>
                </c:pt>
                <c:pt idx="2">
                  <c:v>Protected Class</c:v>
                </c:pt>
                <c:pt idx="3">
                  <c:v>Over 55</c:v>
                </c:pt>
                <c:pt idx="4">
                  <c:v>With Disability</c:v>
                </c:pt>
              </c:strCache>
            </c:strRef>
          </c:cat>
          <c:val>
            <c:numRef>
              <c:f>'State Data'!$H$27:$H$31</c:f>
              <c:numCache>
                <c:formatCode>0%</c:formatCode>
                <c:ptCount val="5"/>
                <c:pt idx="0">
                  <c:v>0.56860728580150599</c:v>
                </c:pt>
                <c:pt idx="1">
                  <c:v>0.43139271419849401</c:v>
                </c:pt>
                <c:pt idx="2">
                  <c:v>0.31143341700020349</c:v>
                </c:pt>
                <c:pt idx="3">
                  <c:v>0.18121701377111457</c:v>
                </c:pt>
                <c:pt idx="4">
                  <c:v>4.2431314022115189E-2</c:v>
                </c:pt>
              </c:numCache>
            </c:numRef>
          </c:val>
        </c:ser>
        <c:ser>
          <c:idx val="2"/>
          <c:order val="2"/>
          <c:tx>
            <c:strRef>
              <c:f>'Area Data'!$I$26</c:f>
              <c:strCache>
                <c:ptCount val="1"/>
                <c:pt idx="0">
                  <c:v>% of WIA Enrolled</c:v>
                </c:pt>
              </c:strCache>
            </c:strRef>
          </c:tx>
          <c:invertIfNegative val="0"/>
          <c:dLbls>
            <c:delete val="1"/>
          </c:dLbls>
          <c:cat>
            <c:strRef>
              <c:f>'Area Data'!$F$28:$F$32</c:f>
              <c:strCache>
                <c:ptCount val="5"/>
                <c:pt idx="0">
                  <c:v>Male</c:v>
                </c:pt>
                <c:pt idx="1">
                  <c:v>Female</c:v>
                </c:pt>
                <c:pt idx="2">
                  <c:v>Protected Class</c:v>
                </c:pt>
                <c:pt idx="3">
                  <c:v>Over 55</c:v>
                </c:pt>
                <c:pt idx="4">
                  <c:v>With Disability</c:v>
                </c:pt>
              </c:strCache>
            </c:strRef>
          </c:cat>
          <c:val>
            <c:numRef>
              <c:f>'State Data'!$I$27:$I$31</c:f>
              <c:numCache>
                <c:formatCode>0%</c:formatCode>
                <c:ptCount val="5"/>
                <c:pt idx="0">
                  <c:v>0.49046045619270945</c:v>
                </c:pt>
                <c:pt idx="1">
                  <c:v>0.50953954380729061</c:v>
                </c:pt>
                <c:pt idx="2">
                  <c:v>0.26737369430824987</c:v>
                </c:pt>
                <c:pt idx="3">
                  <c:v>0.15162012364101471</c:v>
                </c:pt>
                <c:pt idx="4">
                  <c:v>7.1786399488382002E-2</c:v>
                </c:pt>
              </c:numCache>
            </c:numRef>
          </c:val>
        </c:ser>
        <c:dLbls>
          <c:showLegendKey val="0"/>
          <c:showVal val="1"/>
          <c:showCatName val="0"/>
          <c:showSerName val="0"/>
          <c:showPercent val="0"/>
          <c:showBubbleSize val="0"/>
        </c:dLbls>
        <c:gapWidth val="150"/>
        <c:axId val="143987456"/>
        <c:axId val="143988992"/>
      </c:barChart>
      <c:catAx>
        <c:axId val="143987456"/>
        <c:scaling>
          <c:orientation val="minMax"/>
        </c:scaling>
        <c:delete val="0"/>
        <c:axPos val="b"/>
        <c:majorTickMark val="out"/>
        <c:minorTickMark val="none"/>
        <c:tickLblPos val="nextTo"/>
        <c:txPr>
          <a:bodyPr/>
          <a:lstStyle/>
          <a:p>
            <a:pPr>
              <a:defRPr sz="1400"/>
            </a:pPr>
            <a:endParaRPr lang="en-US"/>
          </a:p>
        </c:txPr>
        <c:crossAx val="143988992"/>
        <c:crosses val="autoZero"/>
        <c:auto val="1"/>
        <c:lblAlgn val="ctr"/>
        <c:lblOffset val="100"/>
        <c:noMultiLvlLbl val="0"/>
      </c:catAx>
      <c:valAx>
        <c:axId val="143988992"/>
        <c:scaling>
          <c:orientation val="minMax"/>
        </c:scaling>
        <c:delete val="0"/>
        <c:axPos val="l"/>
        <c:majorGridlines/>
        <c:numFmt formatCode="0%" sourceLinked="1"/>
        <c:majorTickMark val="out"/>
        <c:minorTickMark val="none"/>
        <c:tickLblPos val="nextTo"/>
        <c:txPr>
          <a:bodyPr/>
          <a:lstStyle/>
          <a:p>
            <a:pPr>
              <a:defRPr sz="1400"/>
            </a:pPr>
            <a:endParaRPr lang="en-US"/>
          </a:p>
        </c:txPr>
        <c:crossAx val="143987456"/>
        <c:crosses val="autoZero"/>
        <c:crossBetween val="between"/>
        <c:majorUnit val="0.2"/>
      </c:valAx>
    </c:plotArea>
    <c:legend>
      <c:legendPos val="b"/>
      <c:layout>
        <c:manualLayout>
          <c:xMode val="edge"/>
          <c:yMode val="edge"/>
          <c:x val="1.865157480314962E-2"/>
          <c:y val="0.80884867385943071"/>
          <c:w val="0.94724460679151501"/>
          <c:h val="0.1877611092431424"/>
        </c:manualLayout>
      </c:layout>
      <c:overlay val="0"/>
      <c:txPr>
        <a:bodyPr/>
        <a:lstStyle/>
        <a:p>
          <a:pPr>
            <a:defRPr sz="1400"/>
          </a:pPr>
          <a:endParaRPr lang="en-US"/>
        </a:p>
      </c:txPr>
    </c:legend>
    <c:plotVisOnly val="1"/>
    <c:dispBlanksAs val="gap"/>
    <c:showDLblsOverMax val="0"/>
  </c:chart>
  <c:printSettings>
    <c:headerFooter/>
    <c:pageMargins b="0.75000000000001188" l="0.70000000000000062" r="0.70000000000000062" t="0.75000000000001188"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a:pPr>
            <a:r>
              <a:rPr lang="en-US"/>
              <a:t>Customer Demographic Comparison</a:t>
            </a:r>
          </a:p>
        </c:rich>
      </c:tx>
      <c:overlay val="1"/>
    </c:title>
    <c:autoTitleDeleted val="0"/>
    <c:plotArea>
      <c:layout>
        <c:manualLayout>
          <c:layoutTarget val="inner"/>
          <c:xMode val="edge"/>
          <c:yMode val="edge"/>
          <c:x val="0.10276723222097374"/>
          <c:y val="0.14773112975164809"/>
          <c:w val="0.85479451787276595"/>
          <c:h val="0.52168630678457362"/>
        </c:manualLayout>
      </c:layout>
      <c:barChart>
        <c:barDir val="col"/>
        <c:grouping val="clustered"/>
        <c:varyColors val="0"/>
        <c:ser>
          <c:idx val="0"/>
          <c:order val="0"/>
          <c:tx>
            <c:strRef>
              <c:f>'Area Data'!$G$26</c:f>
              <c:strCache>
                <c:ptCount val="1"/>
                <c:pt idx="0">
                  <c:v>% of Population</c:v>
                </c:pt>
              </c:strCache>
            </c:strRef>
          </c:tx>
          <c:invertIfNegative val="0"/>
          <c:dLbls>
            <c:dLbl>
              <c:idx val="4"/>
              <c:delete val="1"/>
            </c:dLbl>
            <c:txPr>
              <a:bodyPr/>
              <a:lstStyle/>
              <a:p>
                <a:pPr>
                  <a:defRPr sz="1400"/>
                </a:pPr>
                <a:endParaRPr lang="en-US"/>
              </a:p>
            </c:txPr>
            <c:showLegendKey val="0"/>
            <c:showVal val="1"/>
            <c:showCatName val="0"/>
            <c:showSerName val="0"/>
            <c:showPercent val="0"/>
            <c:showBubbleSize val="0"/>
            <c:showLeaderLines val="0"/>
          </c:dLbls>
          <c:cat>
            <c:strRef>
              <c:f>'Area Data'!$F$28:$F$32</c:f>
              <c:strCache>
                <c:ptCount val="5"/>
                <c:pt idx="0">
                  <c:v>Male</c:v>
                </c:pt>
                <c:pt idx="1">
                  <c:v>Female</c:v>
                </c:pt>
                <c:pt idx="2">
                  <c:v>Protected Class</c:v>
                </c:pt>
                <c:pt idx="3">
                  <c:v>Over 55</c:v>
                </c:pt>
                <c:pt idx="4">
                  <c:v>With Disability</c:v>
                </c:pt>
              </c:strCache>
            </c:strRef>
          </c:cat>
          <c:val>
            <c:numRef>
              <c:f>'Area Data'!$G$28:$G$32</c:f>
              <c:numCache>
                <c:formatCode>0%</c:formatCode>
                <c:ptCount val="5"/>
                <c:pt idx="0">
                  <c:v>0.50137007933885269</c:v>
                </c:pt>
                <c:pt idx="1">
                  <c:v>0.49862992066114736</c:v>
                </c:pt>
                <c:pt idx="2">
                  <c:v>0.12900678752218886</c:v>
                </c:pt>
                <c:pt idx="3">
                  <c:v>0.31748700837254462</c:v>
                </c:pt>
                <c:pt idx="4">
                  <c:v>0</c:v>
                </c:pt>
              </c:numCache>
            </c:numRef>
          </c:val>
        </c:ser>
        <c:ser>
          <c:idx val="1"/>
          <c:order val="1"/>
          <c:tx>
            <c:strRef>
              <c:f>'Area Data'!$H$26</c:f>
              <c:strCache>
                <c:ptCount val="1"/>
                <c:pt idx="0">
                  <c:v>% Of Staff Assisted</c:v>
                </c:pt>
              </c:strCache>
            </c:strRef>
          </c:tx>
          <c:invertIfNegative val="0"/>
          <c:dLbls>
            <c:delete val="1"/>
          </c:dLbls>
          <c:cat>
            <c:strRef>
              <c:f>'Area Data'!$F$28:$F$32</c:f>
              <c:strCache>
                <c:ptCount val="5"/>
                <c:pt idx="0">
                  <c:v>Male</c:v>
                </c:pt>
                <c:pt idx="1">
                  <c:v>Female</c:v>
                </c:pt>
                <c:pt idx="2">
                  <c:v>Protected Class</c:v>
                </c:pt>
                <c:pt idx="3">
                  <c:v>Over 55</c:v>
                </c:pt>
                <c:pt idx="4">
                  <c:v>With Disability</c:v>
                </c:pt>
              </c:strCache>
            </c:strRef>
          </c:cat>
          <c:val>
            <c:numRef>
              <c:f>'Area Data'!$H$28:$H$32</c:f>
              <c:numCache>
                <c:formatCode>0%</c:formatCode>
                <c:ptCount val="5"/>
                <c:pt idx="0">
                  <c:v>0.57029191695647596</c:v>
                </c:pt>
                <c:pt idx="1">
                  <c:v>0.42970808304352409</c:v>
                </c:pt>
                <c:pt idx="2">
                  <c:v>0.21825271366845822</c:v>
                </c:pt>
                <c:pt idx="3">
                  <c:v>0.20049531035936347</c:v>
                </c:pt>
                <c:pt idx="4">
                  <c:v>5.3746443250079039E-2</c:v>
                </c:pt>
              </c:numCache>
            </c:numRef>
          </c:val>
        </c:ser>
        <c:ser>
          <c:idx val="2"/>
          <c:order val="2"/>
          <c:tx>
            <c:strRef>
              <c:f>'Area Data'!$I$26</c:f>
              <c:strCache>
                <c:ptCount val="1"/>
                <c:pt idx="0">
                  <c:v>% of WIA Enrolled</c:v>
                </c:pt>
              </c:strCache>
            </c:strRef>
          </c:tx>
          <c:invertIfNegative val="0"/>
          <c:dLbls>
            <c:delete val="1"/>
          </c:dLbls>
          <c:cat>
            <c:strRef>
              <c:f>'Area Data'!$F$28:$F$32</c:f>
              <c:strCache>
                <c:ptCount val="5"/>
                <c:pt idx="0">
                  <c:v>Male</c:v>
                </c:pt>
                <c:pt idx="1">
                  <c:v>Female</c:v>
                </c:pt>
                <c:pt idx="2">
                  <c:v>Protected Class</c:v>
                </c:pt>
                <c:pt idx="3">
                  <c:v>Over 55</c:v>
                </c:pt>
                <c:pt idx="4">
                  <c:v>With Disability</c:v>
                </c:pt>
              </c:strCache>
            </c:strRef>
          </c:cat>
          <c:val>
            <c:numRef>
              <c:f>'Area Data'!$I$28:$I$32</c:f>
              <c:numCache>
                <c:formatCode>0%</c:formatCode>
                <c:ptCount val="5"/>
                <c:pt idx="0">
                  <c:v>0.48318042813455658</c:v>
                </c:pt>
                <c:pt idx="1">
                  <c:v>0.51681957186544347</c:v>
                </c:pt>
                <c:pt idx="2">
                  <c:v>0.199796126401631</c:v>
                </c:pt>
                <c:pt idx="3">
                  <c:v>0.1743119266055046</c:v>
                </c:pt>
                <c:pt idx="4">
                  <c:v>5.5045871559633031E-2</c:v>
                </c:pt>
              </c:numCache>
            </c:numRef>
          </c:val>
        </c:ser>
        <c:dLbls>
          <c:showLegendKey val="0"/>
          <c:showVal val="1"/>
          <c:showCatName val="0"/>
          <c:showSerName val="0"/>
          <c:showPercent val="0"/>
          <c:showBubbleSize val="0"/>
        </c:dLbls>
        <c:gapWidth val="150"/>
        <c:axId val="144036224"/>
        <c:axId val="144037760"/>
      </c:barChart>
      <c:catAx>
        <c:axId val="144036224"/>
        <c:scaling>
          <c:orientation val="minMax"/>
        </c:scaling>
        <c:delete val="0"/>
        <c:axPos val="b"/>
        <c:majorTickMark val="out"/>
        <c:minorTickMark val="none"/>
        <c:tickLblPos val="nextTo"/>
        <c:txPr>
          <a:bodyPr/>
          <a:lstStyle/>
          <a:p>
            <a:pPr>
              <a:defRPr sz="1400"/>
            </a:pPr>
            <a:endParaRPr lang="en-US"/>
          </a:p>
        </c:txPr>
        <c:crossAx val="144037760"/>
        <c:crosses val="autoZero"/>
        <c:auto val="1"/>
        <c:lblAlgn val="ctr"/>
        <c:lblOffset val="100"/>
        <c:noMultiLvlLbl val="0"/>
      </c:catAx>
      <c:valAx>
        <c:axId val="144037760"/>
        <c:scaling>
          <c:orientation val="minMax"/>
        </c:scaling>
        <c:delete val="0"/>
        <c:axPos val="l"/>
        <c:majorGridlines/>
        <c:numFmt formatCode="0%" sourceLinked="1"/>
        <c:majorTickMark val="out"/>
        <c:minorTickMark val="none"/>
        <c:tickLblPos val="nextTo"/>
        <c:txPr>
          <a:bodyPr/>
          <a:lstStyle/>
          <a:p>
            <a:pPr>
              <a:defRPr sz="1600"/>
            </a:pPr>
            <a:endParaRPr lang="en-US"/>
          </a:p>
        </c:txPr>
        <c:crossAx val="144036224"/>
        <c:crosses val="autoZero"/>
        <c:crossBetween val="between"/>
        <c:majorUnit val="0.2"/>
      </c:valAx>
    </c:plotArea>
    <c:legend>
      <c:legendPos val="b"/>
      <c:layout>
        <c:manualLayout>
          <c:xMode val="edge"/>
          <c:yMode val="edge"/>
          <c:x val="1.865157480314962E-2"/>
          <c:y val="0.80884867385943082"/>
          <c:w val="0.94724460679151512"/>
          <c:h val="0.1877611092431424"/>
        </c:manualLayout>
      </c:layout>
      <c:overlay val="0"/>
      <c:txPr>
        <a:bodyPr/>
        <a:lstStyle/>
        <a:p>
          <a:pPr>
            <a:defRPr sz="1400"/>
          </a:pPr>
          <a:endParaRPr lang="en-US"/>
        </a:p>
      </c:txPr>
    </c:legend>
    <c:plotVisOnly val="1"/>
    <c:dispBlanksAs val="gap"/>
    <c:showDLblsOverMax val="0"/>
  </c:chart>
  <c:printSettings>
    <c:headerFooter/>
    <c:pageMargins b="0.75000000000001199" l="0.70000000000000062" r="0.70000000000000062" t="0.75000000000001199"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Adult</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Measures'!$C$39:$C$41</c:f>
              <c:numCache>
                <c:formatCode>0.0%</c:formatCode>
                <c:ptCount val="3"/>
                <c:pt idx="0">
                  <c:v>0.79012345679012341</c:v>
                </c:pt>
                <c:pt idx="1">
                  <c:v>0.83529411764705885</c:v>
                </c:pt>
              </c:numCache>
            </c:numRef>
          </c:val>
        </c:ser>
        <c:dLbls>
          <c:showLegendKey val="0"/>
          <c:showVal val="0"/>
          <c:showCatName val="0"/>
          <c:showSerName val="0"/>
          <c:showPercent val="0"/>
          <c:showBubbleSize val="0"/>
        </c:dLbls>
        <c:gapWidth val="150"/>
        <c:axId val="149229952"/>
        <c:axId val="149231488"/>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Measures'!$D$39:$D$41</c:f>
              <c:numCache>
                <c:formatCode>General</c:formatCode>
                <c:ptCount val="3"/>
                <c:pt idx="2" formatCode="&quot;$&quot;#,##0">
                  <c:v>14229.591240875912</c:v>
                </c:pt>
              </c:numCache>
            </c:numRef>
          </c:val>
        </c:ser>
        <c:dLbls>
          <c:showLegendKey val="0"/>
          <c:showVal val="0"/>
          <c:showCatName val="0"/>
          <c:showSerName val="0"/>
          <c:showPercent val="0"/>
          <c:showBubbleSize val="0"/>
        </c:dLbls>
        <c:gapWidth val="150"/>
        <c:axId val="149251200"/>
        <c:axId val="149233024"/>
      </c:barChart>
      <c:scatterChart>
        <c:scatterStyle val="lineMarker"/>
        <c:varyColors val="0"/>
        <c:ser>
          <c:idx val="2"/>
          <c:order val="2"/>
          <c:tx>
            <c:strRef>
              <c:f>'Common Measures'!$E$33</c:f>
              <c:strCache>
                <c:ptCount val="1"/>
                <c:pt idx="0">
                  <c:v>Target</c:v>
                </c:pt>
              </c:strCache>
            </c:strRef>
          </c:tx>
          <c:spPr>
            <a:ln w="25400">
              <a:noFill/>
            </a:ln>
          </c:spPr>
          <c:dLbls>
            <c:dLbl>
              <c:idx val="0"/>
              <c:dLblPos val="l"/>
              <c:showLegendKey val="0"/>
              <c:showVal val="1"/>
              <c:showCatName val="0"/>
              <c:showSerName val="0"/>
              <c:showPercent val="0"/>
              <c:showBubbleSize val="0"/>
            </c:dLbl>
            <c:dLbl>
              <c:idx val="1"/>
              <c:dLblPos val="l"/>
              <c:showLegendKey val="0"/>
              <c:showVal val="1"/>
              <c:showCatName val="0"/>
              <c:showSerName val="0"/>
              <c:showPercent val="0"/>
              <c:showBubbleSize val="0"/>
            </c:dLbl>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Measures'!$E$39:$E$41</c:f>
              <c:numCache>
                <c:formatCode>0.0%</c:formatCode>
                <c:ptCount val="3"/>
                <c:pt idx="0">
                  <c:v>0.77500000000000002</c:v>
                </c:pt>
                <c:pt idx="1">
                  <c:v>0.82</c:v>
                </c:pt>
              </c:numCache>
            </c:numRef>
          </c:yVal>
          <c:smooth val="0"/>
        </c:ser>
        <c:dLbls>
          <c:showLegendKey val="0"/>
          <c:showVal val="0"/>
          <c:showCatName val="0"/>
          <c:showSerName val="0"/>
          <c:showPercent val="0"/>
          <c:showBubbleSize val="0"/>
        </c:dLbls>
        <c:axId val="149229952"/>
        <c:axId val="149231488"/>
      </c:scatterChart>
      <c:scatterChart>
        <c:scatterStyle val="lineMarker"/>
        <c:varyColors val="0"/>
        <c:ser>
          <c:idx val="3"/>
          <c:order val="3"/>
          <c:tx>
            <c:strRef>
              <c:f>'Common Measures'!$F$33</c:f>
              <c:strCache>
                <c:ptCount val="1"/>
                <c:pt idx="0">
                  <c:v>Target $</c:v>
                </c:pt>
              </c:strCache>
            </c:strRef>
          </c:tx>
          <c:spPr>
            <a:ln w="25400">
              <a:noFill/>
            </a:ln>
          </c:spPr>
          <c:dLbls>
            <c:spPr>
              <a:solidFill>
                <a:schemeClr val="lt1"/>
              </a:solidFill>
              <a:ln w="25400" cap="flat" cmpd="sng" algn="ctr">
                <a:solidFill>
                  <a:schemeClr val="accent4"/>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Measures'!$F$39:$F$41</c:f>
              <c:numCache>
                <c:formatCode>General</c:formatCode>
                <c:ptCount val="3"/>
                <c:pt idx="2" formatCode="&quot;$&quot;#,##0">
                  <c:v>9721</c:v>
                </c:pt>
              </c:numCache>
            </c:numRef>
          </c:yVal>
          <c:smooth val="0"/>
        </c:ser>
        <c:dLbls>
          <c:showLegendKey val="0"/>
          <c:showVal val="0"/>
          <c:showCatName val="0"/>
          <c:showSerName val="0"/>
          <c:showPercent val="0"/>
          <c:showBubbleSize val="0"/>
        </c:dLbls>
        <c:axId val="149251200"/>
        <c:axId val="149233024"/>
      </c:scatterChart>
      <c:catAx>
        <c:axId val="149229952"/>
        <c:scaling>
          <c:orientation val="minMax"/>
        </c:scaling>
        <c:delete val="0"/>
        <c:axPos val="b"/>
        <c:numFmt formatCode="@" sourceLinked="0"/>
        <c:majorTickMark val="none"/>
        <c:minorTickMark val="none"/>
        <c:tickLblPos val="nextTo"/>
        <c:txPr>
          <a:bodyPr/>
          <a:lstStyle/>
          <a:p>
            <a:pPr>
              <a:defRPr sz="1600"/>
            </a:pPr>
            <a:endParaRPr lang="en-US"/>
          </a:p>
        </c:txPr>
        <c:crossAx val="149231488"/>
        <c:crosses val="autoZero"/>
        <c:auto val="1"/>
        <c:lblAlgn val="ctr"/>
        <c:lblOffset val="100"/>
        <c:noMultiLvlLbl val="0"/>
      </c:catAx>
      <c:valAx>
        <c:axId val="149231488"/>
        <c:scaling>
          <c:orientation val="minMax"/>
          <c:max val="1"/>
        </c:scaling>
        <c:delete val="0"/>
        <c:axPos val="l"/>
        <c:majorGridlines/>
        <c:numFmt formatCode="0%" sourceLinked="0"/>
        <c:majorTickMark val="none"/>
        <c:minorTickMark val="none"/>
        <c:tickLblPos val="nextTo"/>
        <c:crossAx val="149229952"/>
        <c:crosses val="autoZero"/>
        <c:crossBetween val="between"/>
        <c:majorUnit val="0.25"/>
      </c:valAx>
      <c:valAx>
        <c:axId val="149233024"/>
        <c:scaling>
          <c:orientation val="minMax"/>
          <c:min val="0"/>
        </c:scaling>
        <c:delete val="0"/>
        <c:axPos val="r"/>
        <c:numFmt formatCode="&quot;$&quot;#,##0" sourceLinked="0"/>
        <c:majorTickMark val="out"/>
        <c:minorTickMark val="none"/>
        <c:tickLblPos val="nextTo"/>
        <c:crossAx val="149251200"/>
        <c:crosses val="max"/>
        <c:crossBetween val="between"/>
        <c:majorUnit val="5000"/>
      </c:valAx>
      <c:catAx>
        <c:axId val="149251200"/>
        <c:scaling>
          <c:orientation val="minMax"/>
        </c:scaling>
        <c:delete val="1"/>
        <c:axPos val="b"/>
        <c:majorTickMark val="out"/>
        <c:minorTickMark val="none"/>
        <c:tickLblPos val="none"/>
        <c:crossAx val="149233024"/>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101" l="0.70000000000000062" r="0.70000000000000062" t="0.75000000000001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Youth Common Measures</a:t>
            </a:r>
          </a:p>
        </c:rich>
      </c:tx>
      <c:overlay val="0"/>
    </c:title>
    <c:autoTitleDeleted val="0"/>
    <c:plotArea>
      <c:layout/>
      <c:barChart>
        <c:barDir val="col"/>
        <c:grouping val="clustered"/>
        <c:varyColors val="0"/>
        <c:ser>
          <c:idx val="0"/>
          <c:order val="0"/>
          <c:tx>
            <c:v>Actual Rates</c:v>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'Area Data'!$F$16:$F$18</c:f>
              <c:strCache>
                <c:ptCount val="3"/>
                <c:pt idx="0">
                  <c:v>Certificate Rate</c:v>
                </c:pt>
                <c:pt idx="1">
                  <c:v>Literacy/Numeracy Rate</c:v>
                </c:pt>
                <c:pt idx="2">
                  <c:v>Placement Rate</c:v>
                </c:pt>
              </c:strCache>
            </c:strRef>
          </c:cat>
          <c:val>
            <c:numRef>
              <c:f>'Area Data'!$I$16:$I$18</c:f>
              <c:numCache>
                <c:formatCode>0.0%</c:formatCode>
                <c:ptCount val="3"/>
                <c:pt idx="0">
                  <c:v>0.72413793103448276</c:v>
                </c:pt>
                <c:pt idx="1">
                  <c:v>0.6</c:v>
                </c:pt>
                <c:pt idx="2">
                  <c:v>0.71830985915492962</c:v>
                </c:pt>
              </c:numCache>
            </c:numRef>
          </c:val>
        </c:ser>
        <c:dLbls>
          <c:showLegendKey val="0"/>
          <c:showVal val="0"/>
          <c:showCatName val="0"/>
          <c:showSerName val="0"/>
          <c:showPercent val="0"/>
          <c:showBubbleSize val="0"/>
        </c:dLbls>
        <c:gapWidth val="150"/>
        <c:axId val="149275392"/>
        <c:axId val="149276928"/>
      </c:barChart>
      <c:lineChart>
        <c:grouping val="standard"/>
        <c:varyColors val="0"/>
        <c:ser>
          <c:idx val="1"/>
          <c:order val="1"/>
          <c:tx>
            <c:v>Measure Target</c:v>
          </c:tx>
          <c:spPr>
            <a:ln w="66675">
              <a:noFill/>
            </a:ln>
          </c:spPr>
          <c:dLbls>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cat>
            <c:strRef>
              <c:f>'Area Data'!$F$16:$F$18</c:f>
              <c:strCache>
                <c:ptCount val="3"/>
                <c:pt idx="0">
                  <c:v>Certificate Rate</c:v>
                </c:pt>
                <c:pt idx="1">
                  <c:v>Literacy/Numeracy Rate</c:v>
                </c:pt>
                <c:pt idx="2">
                  <c:v>Placement Rate</c:v>
                </c:pt>
              </c:strCache>
            </c:strRef>
          </c:cat>
          <c:val>
            <c:numRef>
              <c:f>'Area Data'!$J$16:$J$18</c:f>
              <c:numCache>
                <c:formatCode>0.0%</c:formatCode>
                <c:ptCount val="3"/>
                <c:pt idx="0">
                  <c:v>0.66500000000000004</c:v>
                </c:pt>
                <c:pt idx="1">
                  <c:v>0.34599999999999997</c:v>
                </c:pt>
                <c:pt idx="2">
                  <c:v>0.58799999999999997</c:v>
                </c:pt>
              </c:numCache>
            </c:numRef>
          </c:val>
          <c:smooth val="0"/>
        </c:ser>
        <c:dLbls>
          <c:showLegendKey val="0"/>
          <c:showVal val="0"/>
          <c:showCatName val="0"/>
          <c:showSerName val="0"/>
          <c:showPercent val="0"/>
          <c:showBubbleSize val="0"/>
        </c:dLbls>
        <c:marker val="1"/>
        <c:smooth val="0"/>
        <c:axId val="149275392"/>
        <c:axId val="149276928"/>
      </c:lineChart>
      <c:catAx>
        <c:axId val="149275392"/>
        <c:scaling>
          <c:orientation val="minMax"/>
        </c:scaling>
        <c:delete val="0"/>
        <c:axPos val="b"/>
        <c:majorTickMark val="none"/>
        <c:minorTickMark val="none"/>
        <c:tickLblPos val="none"/>
        <c:crossAx val="149276928"/>
        <c:crosses val="autoZero"/>
        <c:auto val="1"/>
        <c:lblAlgn val="ctr"/>
        <c:lblOffset val="100"/>
        <c:noMultiLvlLbl val="0"/>
      </c:catAx>
      <c:valAx>
        <c:axId val="149276928"/>
        <c:scaling>
          <c:orientation val="minMax"/>
          <c:max val="1"/>
        </c:scaling>
        <c:delete val="0"/>
        <c:axPos val="l"/>
        <c:majorGridlines/>
        <c:numFmt formatCode="0.0%" sourceLinked="1"/>
        <c:majorTickMark val="none"/>
        <c:minorTickMark val="none"/>
        <c:tickLblPos val="low"/>
        <c:crossAx val="149275392"/>
        <c:crosses val="autoZero"/>
        <c:crossBetween val="between"/>
        <c:majorUnit val="0.2"/>
      </c:valAx>
      <c:dTable>
        <c:showHorzBorder val="1"/>
        <c:showVertBorder val="1"/>
        <c:showOutline val="1"/>
        <c:showKeys val="1"/>
        <c:txPr>
          <a:bodyPr/>
          <a:lstStyle/>
          <a:p>
            <a:pPr rtl="0">
              <a:defRPr sz="1200"/>
            </a:pPr>
            <a:endParaRPr lang="en-US"/>
          </a:p>
        </c:txPr>
      </c:dTable>
    </c:plotArea>
    <c:plotVisOnly val="1"/>
    <c:dispBlanksAs val="zero"/>
    <c:showDLblsOverMax val="0"/>
  </c:chart>
  <c:printSettings>
    <c:headerFooter/>
    <c:pageMargins b="0.7500000000000131" l="0.70000000000000062" r="0.70000000000000062" t="0.7500000000000131"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WIA Dislocated Worker</a:t>
            </a:r>
          </a:p>
        </c:rich>
      </c:tx>
      <c:overlay val="0"/>
    </c:title>
    <c:autoTitleDeleted val="0"/>
    <c:plotArea>
      <c:layout/>
      <c:barChart>
        <c:barDir val="col"/>
        <c:grouping val="clustered"/>
        <c:varyColors val="0"/>
        <c:ser>
          <c:idx val="0"/>
          <c:order val="0"/>
          <c:tx>
            <c:strRef>
              <c:f>'Common Measures'!$C$33</c:f>
              <c:strCache>
                <c:ptCount val="1"/>
                <c:pt idx="0">
                  <c:v>Actual</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Measures'!$C$44:$C$46</c:f>
              <c:numCache>
                <c:formatCode>0.0%</c:formatCode>
                <c:ptCount val="3"/>
                <c:pt idx="0">
                  <c:v>0.80252100840336138</c:v>
                </c:pt>
                <c:pt idx="1">
                  <c:v>0.86227544910179643</c:v>
                </c:pt>
              </c:numCache>
            </c:numRef>
          </c:val>
        </c:ser>
        <c:dLbls>
          <c:showLegendKey val="0"/>
          <c:showVal val="0"/>
          <c:showCatName val="0"/>
          <c:showSerName val="0"/>
          <c:showPercent val="0"/>
          <c:showBubbleSize val="0"/>
        </c:dLbls>
        <c:gapWidth val="150"/>
        <c:axId val="149329408"/>
        <c:axId val="149330944"/>
      </c:barChart>
      <c:barChart>
        <c:barDir val="col"/>
        <c:grouping val="clustered"/>
        <c:varyColors val="0"/>
        <c:ser>
          <c:idx val="1"/>
          <c:order val="1"/>
          <c:tx>
            <c:strRef>
              <c:f>'Common Measures'!$D$33</c:f>
              <c:strCache>
                <c:ptCount val="1"/>
                <c:pt idx="0">
                  <c:v>Actual $</c:v>
                </c:pt>
              </c:strCache>
            </c:strRef>
          </c:tx>
          <c:invertIfNegative val="0"/>
          <c:dLbls>
            <c:txPr>
              <a:bodyPr/>
              <a:lstStyle/>
              <a:p>
                <a:pPr>
                  <a:defRPr sz="1800"/>
                </a:pPr>
                <a:endParaRPr lang="en-US"/>
              </a:p>
            </c:txPr>
            <c:dLblPos val="outEnd"/>
            <c:showLegendKey val="0"/>
            <c:showVal val="1"/>
            <c:showCatName val="0"/>
            <c:showSerName val="0"/>
            <c:showPercent val="0"/>
            <c:showBubbleSize val="0"/>
            <c:showLeaderLines val="0"/>
          </c:dLbls>
          <c:cat>
            <c:strRef>
              <c:f>'Common Measures'!$B$34:$B$36</c:f>
              <c:strCache>
                <c:ptCount val="3"/>
                <c:pt idx="0">
                  <c:v>Entered Employment</c:v>
                </c:pt>
                <c:pt idx="1">
                  <c:v>Retention Rate</c:v>
                </c:pt>
                <c:pt idx="2">
                  <c:v>Average Earnings</c:v>
                </c:pt>
              </c:strCache>
            </c:strRef>
          </c:cat>
          <c:val>
            <c:numRef>
              <c:f>'Common Measures'!$D$44:$D$46</c:f>
              <c:numCache>
                <c:formatCode>General</c:formatCode>
                <c:ptCount val="3"/>
                <c:pt idx="2" formatCode="&quot;$&quot;#,##0">
                  <c:v>17204.261194029852</c:v>
                </c:pt>
              </c:numCache>
            </c:numRef>
          </c:val>
        </c:ser>
        <c:dLbls>
          <c:showLegendKey val="0"/>
          <c:showVal val="0"/>
          <c:showCatName val="0"/>
          <c:showSerName val="0"/>
          <c:showPercent val="0"/>
          <c:showBubbleSize val="0"/>
        </c:dLbls>
        <c:gapWidth val="150"/>
        <c:axId val="149354752"/>
        <c:axId val="149353216"/>
      </c:barChart>
      <c:scatterChart>
        <c:scatterStyle val="lineMarker"/>
        <c:varyColors val="0"/>
        <c:ser>
          <c:idx val="2"/>
          <c:order val="2"/>
          <c:tx>
            <c:strRef>
              <c:f>'Common Measures'!$E$33</c:f>
              <c:strCache>
                <c:ptCount val="1"/>
                <c:pt idx="0">
                  <c:v>Target</c:v>
                </c:pt>
              </c:strCache>
            </c:strRef>
          </c:tx>
          <c:spPr>
            <a:ln w="66675">
              <a:noFill/>
            </a:ln>
          </c:spPr>
          <c:dLbls>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n-US"/>
              </a:p>
            </c:txPr>
            <c:dLblPos val="l"/>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Measures'!$E$44:$E$46</c:f>
              <c:numCache>
                <c:formatCode>0.0%</c:formatCode>
                <c:ptCount val="3"/>
                <c:pt idx="0">
                  <c:v>0.77400000000000002</c:v>
                </c:pt>
                <c:pt idx="1">
                  <c:v>0.84199999999999997</c:v>
                </c:pt>
              </c:numCache>
            </c:numRef>
          </c:yVal>
          <c:smooth val="0"/>
        </c:ser>
        <c:dLbls>
          <c:showLegendKey val="0"/>
          <c:showVal val="0"/>
          <c:showCatName val="0"/>
          <c:showSerName val="0"/>
          <c:showPercent val="0"/>
          <c:showBubbleSize val="0"/>
        </c:dLbls>
        <c:axId val="149329408"/>
        <c:axId val="149330944"/>
      </c:scatterChart>
      <c:scatterChart>
        <c:scatterStyle val="lineMarker"/>
        <c:varyColors val="0"/>
        <c:ser>
          <c:idx val="3"/>
          <c:order val="3"/>
          <c:tx>
            <c:strRef>
              <c:f>'Common Measures'!$F$33</c:f>
              <c:strCache>
                <c:ptCount val="1"/>
                <c:pt idx="0">
                  <c:v>Target $</c:v>
                </c:pt>
              </c:strCache>
            </c:strRef>
          </c:tx>
          <c:spPr>
            <a:ln w="66675">
              <a:noFill/>
            </a:ln>
          </c:spPr>
          <c:dLbls>
            <c:dLbl>
              <c:idx val="2"/>
              <c:dLblPos val="l"/>
              <c:showLegendKey val="0"/>
              <c:showVal val="1"/>
              <c:showCatName val="0"/>
              <c:showSerName val="0"/>
              <c:showPercent val="0"/>
              <c:showBubbleSize val="0"/>
            </c:dLbl>
            <c:spPr>
              <a:solidFill>
                <a:schemeClr val="lt1"/>
              </a:solidFill>
              <a:ln w="25400" cap="flat" cmpd="sng" algn="ctr">
                <a:solidFill>
                  <a:schemeClr val="accent4"/>
                </a:solidFill>
                <a:prstDash val="solid"/>
              </a:ln>
              <a:effectLst/>
            </c:spPr>
            <c:txPr>
              <a:bodyPr/>
              <a:lstStyle/>
              <a:p>
                <a:pPr>
                  <a:defRPr sz="1000">
                    <a:solidFill>
                      <a:schemeClr val="dk1"/>
                    </a:solidFill>
                    <a:latin typeface="+mn-lt"/>
                    <a:ea typeface="+mn-ea"/>
                    <a:cs typeface="+mn-cs"/>
                  </a:defRPr>
                </a:pPr>
                <a:endParaRPr lang="en-US"/>
              </a:p>
            </c:txPr>
            <c:dLblPos val="r"/>
            <c:showLegendKey val="0"/>
            <c:showVal val="1"/>
            <c:showCatName val="0"/>
            <c:showSerName val="0"/>
            <c:showPercent val="0"/>
            <c:showBubbleSize val="0"/>
            <c:showLeaderLines val="0"/>
          </c:dLbls>
          <c:xVal>
            <c:strRef>
              <c:f>'Common Measures'!$B$39:$B$41</c:f>
              <c:strCache>
                <c:ptCount val="3"/>
                <c:pt idx="0">
                  <c:v>Entered Employment</c:v>
                </c:pt>
                <c:pt idx="1">
                  <c:v>Retention Rate</c:v>
                </c:pt>
                <c:pt idx="2">
                  <c:v>Average Earnings</c:v>
                </c:pt>
              </c:strCache>
            </c:strRef>
          </c:xVal>
          <c:yVal>
            <c:numRef>
              <c:f>'Common Measures'!$F$44:$F$46</c:f>
              <c:numCache>
                <c:formatCode>General</c:formatCode>
                <c:ptCount val="3"/>
                <c:pt idx="2" formatCode="&quot;$&quot;#,##0">
                  <c:v>14926</c:v>
                </c:pt>
              </c:numCache>
            </c:numRef>
          </c:yVal>
          <c:smooth val="0"/>
        </c:ser>
        <c:dLbls>
          <c:showLegendKey val="0"/>
          <c:showVal val="0"/>
          <c:showCatName val="0"/>
          <c:showSerName val="0"/>
          <c:showPercent val="0"/>
          <c:showBubbleSize val="0"/>
        </c:dLbls>
        <c:axId val="149354752"/>
        <c:axId val="149353216"/>
      </c:scatterChart>
      <c:catAx>
        <c:axId val="149329408"/>
        <c:scaling>
          <c:orientation val="minMax"/>
        </c:scaling>
        <c:delete val="0"/>
        <c:axPos val="b"/>
        <c:numFmt formatCode="@" sourceLinked="0"/>
        <c:majorTickMark val="none"/>
        <c:minorTickMark val="none"/>
        <c:tickLblPos val="nextTo"/>
        <c:txPr>
          <a:bodyPr/>
          <a:lstStyle/>
          <a:p>
            <a:pPr>
              <a:defRPr sz="1600"/>
            </a:pPr>
            <a:endParaRPr lang="en-US"/>
          </a:p>
        </c:txPr>
        <c:crossAx val="149330944"/>
        <c:crosses val="autoZero"/>
        <c:auto val="1"/>
        <c:lblAlgn val="ctr"/>
        <c:lblOffset val="100"/>
        <c:noMultiLvlLbl val="0"/>
      </c:catAx>
      <c:valAx>
        <c:axId val="149330944"/>
        <c:scaling>
          <c:orientation val="minMax"/>
          <c:max val="1"/>
        </c:scaling>
        <c:delete val="0"/>
        <c:axPos val="l"/>
        <c:majorGridlines/>
        <c:numFmt formatCode="0%" sourceLinked="0"/>
        <c:majorTickMark val="none"/>
        <c:minorTickMark val="none"/>
        <c:tickLblPos val="nextTo"/>
        <c:crossAx val="149329408"/>
        <c:crosses val="autoZero"/>
        <c:crossBetween val="between"/>
        <c:majorUnit val="0.25"/>
      </c:valAx>
      <c:valAx>
        <c:axId val="149353216"/>
        <c:scaling>
          <c:orientation val="minMax"/>
          <c:min val="0"/>
        </c:scaling>
        <c:delete val="0"/>
        <c:axPos val="r"/>
        <c:numFmt formatCode="&quot;$&quot;#,##0" sourceLinked="0"/>
        <c:majorTickMark val="out"/>
        <c:minorTickMark val="none"/>
        <c:tickLblPos val="nextTo"/>
        <c:crossAx val="149354752"/>
        <c:crosses val="max"/>
        <c:crossBetween val="between"/>
        <c:majorUnit val="5000"/>
      </c:valAx>
      <c:catAx>
        <c:axId val="149354752"/>
        <c:scaling>
          <c:orientation val="minMax"/>
        </c:scaling>
        <c:delete val="1"/>
        <c:axPos val="b"/>
        <c:majorTickMark val="out"/>
        <c:minorTickMark val="none"/>
        <c:tickLblPos val="none"/>
        <c:crossAx val="149353216"/>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000000000001033" l="0.70000000000000062" r="0.70000000000000062" t="0.750000000000010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eg"/><Relationship Id="rId1" Type="http://schemas.openxmlformats.org/officeDocument/2006/relationships/chart" Target="../charts/chart14.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428624</xdr:colOff>
      <xdr:row>1</xdr:row>
      <xdr:rowOff>0</xdr:rowOff>
    </xdr:from>
    <xdr:to>
      <xdr:col>12</xdr:col>
      <xdr:colOff>66675</xdr:colOff>
      <xdr:row>10</xdr:row>
      <xdr:rowOff>209430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211666</xdr:rowOff>
    </xdr:from>
    <xdr:to>
      <xdr:col>4</xdr:col>
      <xdr:colOff>408517</xdr:colOff>
      <xdr:row>18</xdr:row>
      <xdr:rowOff>512233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403641</xdr:colOff>
      <xdr:row>10</xdr:row>
      <xdr:rowOff>209053</xdr:rowOff>
    </xdr:from>
    <xdr:to>
      <xdr:col>8</xdr:col>
      <xdr:colOff>484074</xdr:colOff>
      <xdr:row>18</xdr:row>
      <xdr:rowOff>509620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436183</xdr:colOff>
      <xdr:row>10</xdr:row>
      <xdr:rowOff>211215</xdr:rowOff>
    </xdr:from>
    <xdr:to>
      <xdr:col>12</xdr:col>
      <xdr:colOff>17083</xdr:colOff>
      <xdr:row>18</xdr:row>
      <xdr:rowOff>511782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1755775</xdr:colOff>
      <xdr:row>1</xdr:row>
      <xdr:rowOff>85725</xdr:rowOff>
    </xdr:from>
    <xdr:to>
      <xdr:col>4</xdr:col>
      <xdr:colOff>1555750</xdr:colOff>
      <xdr:row>3</xdr:row>
      <xdr:rowOff>152400</xdr:rowOff>
    </xdr:to>
    <xdr:grpSp>
      <xdr:nvGrpSpPr>
        <xdr:cNvPr id="6" name="Group 5"/>
        <xdr:cNvGrpSpPr/>
      </xdr:nvGrpSpPr>
      <xdr:grpSpPr>
        <a:xfrm>
          <a:off x="1755775" y="542925"/>
          <a:ext cx="3752850" cy="714375"/>
          <a:chOff x="866775" y="542925"/>
          <a:chExt cx="2209800" cy="809625"/>
        </a:xfrm>
        <a:noFill/>
        <a:scene3d>
          <a:camera prst="orthographicFront">
            <a:rot lat="0" lon="0" rev="0"/>
          </a:camera>
          <a:lightRig rig="soft" dir="t">
            <a:rot lat="0" lon="0" rev="0"/>
          </a:lightRig>
        </a:scene3d>
      </xdr:grpSpPr>
      <xdr:sp macro="" textlink="">
        <xdr:nvSpPr>
          <xdr:cNvPr id="7" name="Rectangle 6"/>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Area Data'!C5">
        <xdr:nvSpPr>
          <xdr:cNvPr id="8" name="TextBox 7"/>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C0750D7-5ABE-476F-B921-12DD43285098}" type="TxLink">
              <a:rPr lang="en-US" sz="1000" b="1" i="0" u="none" strike="noStrike">
                <a:solidFill>
                  <a:srgbClr val="000000"/>
                </a:solidFill>
                <a:latin typeface="Calibri"/>
                <a:cs typeface="Calibri"/>
              </a:rPr>
              <a:pPr algn="ctr"/>
              <a:t>9,102</a:t>
            </a:fld>
            <a:endParaRPr lang="en-US" sz="1100" b="1">
              <a:solidFill>
                <a:sysClr val="windowText" lastClr="000000"/>
              </a:solidFill>
            </a:endParaRPr>
          </a:p>
        </xdr:txBody>
      </xdr:sp>
    </xdr:grpSp>
    <xdr:clientData/>
  </xdr:twoCellAnchor>
  <xdr:twoCellAnchor>
    <xdr:from>
      <xdr:col>0</xdr:col>
      <xdr:colOff>137584</xdr:colOff>
      <xdr:row>1</xdr:row>
      <xdr:rowOff>144993</xdr:rowOff>
    </xdr:from>
    <xdr:to>
      <xdr:col>0</xdr:col>
      <xdr:colOff>1332442</xdr:colOff>
      <xdr:row>4</xdr:row>
      <xdr:rowOff>73025</xdr:rowOff>
    </xdr:to>
    <xdr:grpSp>
      <xdr:nvGrpSpPr>
        <xdr:cNvPr id="9" name="Group 8"/>
        <xdr:cNvGrpSpPr/>
      </xdr:nvGrpSpPr>
      <xdr:grpSpPr>
        <a:xfrm>
          <a:off x="137584" y="602193"/>
          <a:ext cx="1194858" cy="813857"/>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0" name="Rectangle 9"/>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Area Data'!C7">
        <xdr:nvSpPr>
          <xdr:cNvPr id="11" name="TextBox 10"/>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0ED87969-7EE9-47E1-B6C9-55F5F4A40280}" type="TxLink">
              <a:rPr lang="en-US" sz="1200" b="1" i="0" u="none" strike="noStrike">
                <a:solidFill>
                  <a:srgbClr val="000000"/>
                </a:solidFill>
                <a:latin typeface="Calibri"/>
                <a:cs typeface="Calibri"/>
              </a:rPr>
              <a:pPr algn="ctr"/>
              <a:t>3,851</a:t>
            </a:fld>
            <a:endParaRPr lang="en-US" sz="1100" b="1">
              <a:solidFill>
                <a:sysClr val="windowText" lastClr="000000"/>
              </a:solidFill>
            </a:endParaRPr>
          </a:p>
        </xdr:txBody>
      </xdr:sp>
    </xdr:grpSp>
    <xdr:clientData/>
  </xdr:twoCellAnchor>
  <xdr:twoCellAnchor>
    <xdr:from>
      <xdr:col>0</xdr:col>
      <xdr:colOff>1672169</xdr:colOff>
      <xdr:row>4</xdr:row>
      <xdr:rowOff>80436</xdr:rowOff>
    </xdr:from>
    <xdr:to>
      <xdr:col>4</xdr:col>
      <xdr:colOff>751419</xdr:colOff>
      <xdr:row>6</xdr:row>
      <xdr:rowOff>251886</xdr:rowOff>
    </xdr:to>
    <xdr:grpSp>
      <xdr:nvGrpSpPr>
        <xdr:cNvPr id="12" name="Group 11"/>
        <xdr:cNvGrpSpPr/>
      </xdr:nvGrpSpPr>
      <xdr:grpSpPr>
        <a:xfrm>
          <a:off x="1672169" y="1423461"/>
          <a:ext cx="3032125" cy="647700"/>
          <a:chOff x="751249" y="542925"/>
          <a:chExt cx="2209800" cy="809625"/>
        </a:xfrm>
        <a:noFill/>
        <a:scene3d>
          <a:camera prst="orthographicFront">
            <a:rot lat="0" lon="0" rev="0"/>
          </a:camera>
          <a:lightRig rig="soft" dir="t">
            <a:rot lat="0" lon="0" rev="0"/>
          </a:lightRig>
        </a:scene3d>
      </xdr:grpSpPr>
      <xdr:sp macro="" textlink="">
        <xdr:nvSpPr>
          <xdr:cNvPr id="13" name="Rectangle 1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Area Data'!C6">
        <xdr:nvSpPr>
          <xdr:cNvPr id="14" name="TextBox 1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E08335C-A155-4E24-99A0-4370A5EBF48C}" type="TxLink">
              <a:rPr lang="en-US" sz="1200" b="1" i="0" u="none" strike="noStrike">
                <a:solidFill>
                  <a:srgbClr val="000000"/>
                </a:solidFill>
                <a:latin typeface="Calibri"/>
                <a:cs typeface="Calibri"/>
              </a:rPr>
              <a:pPr algn="ctr"/>
              <a:t>5,251</a:t>
            </a:fld>
            <a:endParaRPr lang="en-US" sz="1100" b="1">
              <a:solidFill>
                <a:sysClr val="windowText" lastClr="000000"/>
              </a:solidFill>
            </a:endParaRPr>
          </a:p>
        </xdr:txBody>
      </xdr:sp>
    </xdr:grpSp>
    <xdr:clientData/>
  </xdr:twoCellAnchor>
  <xdr:twoCellAnchor>
    <xdr:from>
      <xdr:col>0</xdr:col>
      <xdr:colOff>400051</xdr:colOff>
      <xdr:row>6</xdr:row>
      <xdr:rowOff>527048</xdr:rowOff>
    </xdr:from>
    <xdr:to>
      <xdr:col>1</xdr:col>
      <xdr:colOff>25401</xdr:colOff>
      <xdr:row>10</xdr:row>
      <xdr:rowOff>101600</xdr:rowOff>
    </xdr:to>
    <xdr:sp macro="" textlink="">
      <xdr:nvSpPr>
        <xdr:cNvPr id="15" name="Rectangle 14"/>
        <xdr:cNvSpPr/>
      </xdr:nvSpPr>
      <xdr:spPr>
        <a:xfrm>
          <a:off x="400051" y="2346323"/>
          <a:ext cx="1435100" cy="86995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clientData/>
  </xdr:twoCellAnchor>
  <xdr:twoCellAnchor>
    <xdr:from>
      <xdr:col>0</xdr:col>
      <xdr:colOff>685801</xdr:colOff>
      <xdr:row>8</xdr:row>
      <xdr:rowOff>171448</xdr:rowOff>
    </xdr:from>
    <xdr:to>
      <xdr:col>0</xdr:col>
      <xdr:colOff>1600201</xdr:colOff>
      <xdr:row>9</xdr:row>
      <xdr:rowOff>190497</xdr:rowOff>
    </xdr:to>
    <xdr:sp macro="" textlink="'Area Data'!C9">
      <xdr:nvSpPr>
        <xdr:cNvPr id="16" name="TextBox 15"/>
        <xdr:cNvSpPr txBox="1"/>
      </xdr:nvSpPr>
      <xdr:spPr>
        <a:xfrm>
          <a:off x="685801" y="2809873"/>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C8F0539-0F05-44E4-A7BC-E6ED2D9006AA}" type="TxLink">
            <a:rPr lang="en-US" sz="1200" b="1" i="0" u="none" strike="noStrike">
              <a:solidFill>
                <a:srgbClr val="000000"/>
              </a:solidFill>
              <a:latin typeface="Calibri"/>
              <a:cs typeface="Calibri"/>
            </a:rPr>
            <a:pPr algn="ctr"/>
            <a:t>4,510</a:t>
          </a:fld>
          <a:endParaRPr lang="en-US" sz="1300" b="1">
            <a:solidFill>
              <a:sysClr val="windowText" lastClr="000000"/>
            </a:solidFill>
          </a:endParaRPr>
        </a:p>
      </xdr:txBody>
    </xdr:sp>
    <xdr:clientData/>
  </xdr:twoCellAnchor>
  <xdr:twoCellAnchor>
    <xdr:from>
      <xdr:col>4</xdr:col>
      <xdr:colOff>444499</xdr:colOff>
      <xdr:row>6</xdr:row>
      <xdr:rowOff>541864</xdr:rowOff>
    </xdr:from>
    <xdr:to>
      <xdr:col>6</xdr:col>
      <xdr:colOff>236157</xdr:colOff>
      <xdr:row>10</xdr:row>
      <xdr:rowOff>120650</xdr:rowOff>
    </xdr:to>
    <xdr:sp macro="" textlink="">
      <xdr:nvSpPr>
        <xdr:cNvPr id="17" name="Rectangle 16"/>
        <xdr:cNvSpPr/>
      </xdr:nvSpPr>
      <xdr:spPr>
        <a:xfrm>
          <a:off x="4235449" y="2361139"/>
          <a:ext cx="2001458" cy="87418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clientData/>
  </xdr:twoCellAnchor>
  <xdr:twoCellAnchor>
    <xdr:from>
      <xdr:col>4</xdr:col>
      <xdr:colOff>1533526</xdr:colOff>
      <xdr:row>8</xdr:row>
      <xdr:rowOff>120651</xdr:rowOff>
    </xdr:from>
    <xdr:to>
      <xdr:col>6</xdr:col>
      <xdr:colOff>112333</xdr:colOff>
      <xdr:row>9</xdr:row>
      <xdr:rowOff>104775</xdr:rowOff>
    </xdr:to>
    <xdr:sp macro="" textlink="'Area Data'!C12">
      <xdr:nvSpPr>
        <xdr:cNvPr id="18" name="TextBox 17"/>
        <xdr:cNvSpPr txBox="1"/>
      </xdr:nvSpPr>
      <xdr:spPr>
        <a:xfrm>
          <a:off x="5324476" y="2759076"/>
          <a:ext cx="78860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94379F8-B75C-4EC3-AC06-B28683296EE9}" type="TxLink">
            <a:rPr lang="en-US" sz="1200" b="1" i="0" u="none" strike="noStrike">
              <a:solidFill>
                <a:srgbClr val="000000"/>
              </a:solidFill>
              <a:latin typeface="Calibri"/>
              <a:cs typeface="Calibri"/>
            </a:rPr>
            <a:pPr algn="ctr"/>
            <a:t>380</a:t>
          </a:fld>
          <a:endParaRPr lang="en-US" sz="1300" b="1">
            <a:solidFill>
              <a:sysClr val="windowText" lastClr="000000"/>
            </a:solidFill>
          </a:endParaRPr>
        </a:p>
      </xdr:txBody>
    </xdr:sp>
    <xdr:clientData/>
  </xdr:twoCellAnchor>
  <xdr:twoCellAnchor>
    <xdr:from>
      <xdr:col>1</xdr:col>
      <xdr:colOff>238125</xdr:colOff>
      <xdr:row>6</xdr:row>
      <xdr:rowOff>536573</xdr:rowOff>
    </xdr:from>
    <xdr:to>
      <xdr:col>4</xdr:col>
      <xdr:colOff>228600</xdr:colOff>
      <xdr:row>10</xdr:row>
      <xdr:rowOff>120650</xdr:rowOff>
    </xdr:to>
    <xdr:sp macro="" textlink="">
      <xdr:nvSpPr>
        <xdr:cNvPr id="19" name="Rectangle 18"/>
        <xdr:cNvSpPr/>
      </xdr:nvSpPr>
      <xdr:spPr>
        <a:xfrm>
          <a:off x="2047875" y="2355848"/>
          <a:ext cx="1971675" cy="87947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clientData/>
  </xdr:twoCellAnchor>
  <xdr:twoCellAnchor>
    <xdr:from>
      <xdr:col>4</xdr:col>
      <xdr:colOff>1554692</xdr:colOff>
      <xdr:row>7</xdr:row>
      <xdr:rowOff>183093</xdr:rowOff>
    </xdr:from>
    <xdr:to>
      <xdr:col>6</xdr:col>
      <xdr:colOff>83758</xdr:colOff>
      <xdr:row>8</xdr:row>
      <xdr:rowOff>133350</xdr:rowOff>
    </xdr:to>
    <xdr:sp macro="" textlink="'Area Data'!C11">
      <xdr:nvSpPr>
        <xdr:cNvPr id="20" name="TextBox 19"/>
        <xdr:cNvSpPr txBox="1"/>
      </xdr:nvSpPr>
      <xdr:spPr>
        <a:xfrm>
          <a:off x="5345642" y="2573868"/>
          <a:ext cx="738866" cy="197907"/>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ECB41BD-538E-4201-A34A-9B6DE3095FD6}" type="TxLink">
            <a:rPr lang="en-US" sz="1200" b="1" i="0" u="none" strike="noStrike">
              <a:solidFill>
                <a:srgbClr val="000000"/>
              </a:solidFill>
              <a:latin typeface="Calibri"/>
              <a:cs typeface="Calibri"/>
            </a:rPr>
            <a:pPr algn="ctr"/>
            <a:t>99</a:t>
          </a:fld>
          <a:endParaRPr lang="en-US" sz="1300" b="1">
            <a:solidFill>
              <a:sysClr val="windowText" lastClr="000000"/>
            </a:solidFill>
          </a:endParaRPr>
        </a:p>
      </xdr:txBody>
    </xdr:sp>
    <xdr:clientData/>
  </xdr:twoCellAnchor>
  <xdr:twoCellAnchor>
    <xdr:from>
      <xdr:col>4</xdr:col>
      <xdr:colOff>1450976</xdr:colOff>
      <xdr:row>9</xdr:row>
      <xdr:rowOff>93134</xdr:rowOff>
    </xdr:from>
    <xdr:to>
      <xdr:col>6</xdr:col>
      <xdr:colOff>140908</xdr:colOff>
      <xdr:row>10</xdr:row>
      <xdr:rowOff>66675</xdr:rowOff>
    </xdr:to>
    <xdr:sp macro="" textlink="'Area Data'!C13">
      <xdr:nvSpPr>
        <xdr:cNvPr id="21" name="TextBox 20"/>
        <xdr:cNvSpPr txBox="1"/>
      </xdr:nvSpPr>
      <xdr:spPr>
        <a:xfrm>
          <a:off x="5241926" y="2969684"/>
          <a:ext cx="899732"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9AAB5F9-9654-497F-8612-D4128C7B8B68}" type="TxLink">
            <a:rPr lang="en-US" sz="1200" b="1" i="0" u="none" strike="noStrike">
              <a:solidFill>
                <a:srgbClr val="000000"/>
              </a:solidFill>
              <a:latin typeface="Calibri"/>
              <a:cs typeface="Calibri"/>
            </a:rPr>
            <a:pPr algn="ctr"/>
            <a:t>102</a:t>
          </a:fld>
          <a:endParaRPr lang="en-US" sz="1300" b="1">
            <a:solidFill>
              <a:sysClr val="windowText" lastClr="000000"/>
            </a:solidFill>
          </a:endParaRPr>
        </a:p>
      </xdr:txBody>
    </xdr:sp>
    <xdr:clientData/>
  </xdr:twoCellAnchor>
  <xdr:twoCellAnchor>
    <xdr:from>
      <xdr:col>1</xdr:col>
      <xdr:colOff>331408</xdr:colOff>
      <xdr:row>8</xdr:row>
      <xdr:rowOff>167216</xdr:rowOff>
    </xdr:from>
    <xdr:to>
      <xdr:col>4</xdr:col>
      <xdr:colOff>93283</xdr:colOff>
      <xdr:row>9</xdr:row>
      <xdr:rowOff>180975</xdr:rowOff>
    </xdr:to>
    <xdr:sp macro="" textlink="'Area Data'!C10">
      <xdr:nvSpPr>
        <xdr:cNvPr id="22" name="TextBox 21"/>
        <xdr:cNvSpPr txBox="1"/>
      </xdr:nvSpPr>
      <xdr:spPr>
        <a:xfrm>
          <a:off x="2141158" y="2805641"/>
          <a:ext cx="1743075"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C9F513F-C6D6-45F5-BFAE-C0CA25E05043}" type="TxLink">
            <a:rPr lang="en-US" sz="1200" b="1" i="0" u="none" strike="noStrike">
              <a:solidFill>
                <a:srgbClr val="000000"/>
              </a:solidFill>
              <a:latin typeface="Calibri"/>
              <a:cs typeface="Calibri"/>
            </a:rPr>
            <a:pPr algn="ctr"/>
            <a:t>630</a:t>
          </a:fld>
          <a:endParaRPr lang="en-US" sz="1300" b="1">
            <a:solidFill>
              <a:sysClr val="windowText" lastClr="000000"/>
            </a:solidFill>
          </a:endParaRPr>
        </a:p>
      </xdr:txBody>
    </xdr:sp>
    <xdr:clientData/>
  </xdr:twoCellAnchor>
  <xdr:twoCellAnchor>
    <xdr:from>
      <xdr:col>0</xdr:col>
      <xdr:colOff>1312185</xdr:colOff>
      <xdr:row>2</xdr:row>
      <xdr:rowOff>28575</xdr:rowOff>
    </xdr:from>
    <xdr:to>
      <xdr:col>0</xdr:col>
      <xdr:colOff>1735518</xdr:colOff>
      <xdr:row>2</xdr:row>
      <xdr:rowOff>137584</xdr:rowOff>
    </xdr:to>
    <xdr:cxnSp macro="">
      <xdr:nvCxnSpPr>
        <xdr:cNvPr id="28" name="Straight Connector 27"/>
        <xdr:cNvCxnSpPr/>
      </xdr:nvCxnSpPr>
      <xdr:spPr>
        <a:xfrm rot="10800000" flipV="1">
          <a:off x="1312185" y="895350"/>
          <a:ext cx="423333" cy="10900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384024</xdr:colOff>
      <xdr:row>3</xdr:row>
      <xdr:rowOff>122241</xdr:rowOff>
    </xdr:from>
    <xdr:to>
      <xdr:col>2</xdr:col>
      <xdr:colOff>384027</xdr:colOff>
      <xdr:row>4</xdr:row>
      <xdr:rowOff>75674</xdr:rowOff>
    </xdr:to>
    <xdr:cxnSp macro="">
      <xdr:nvCxnSpPr>
        <xdr:cNvPr id="29" name="Straight Connector 28"/>
        <xdr:cNvCxnSpPr/>
      </xdr:nvCxnSpPr>
      <xdr:spPr>
        <a:xfrm rot="16200000" flipH="1">
          <a:off x="2440897" y="1322918"/>
          <a:ext cx="191558" cy="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778786</xdr:colOff>
      <xdr:row>5</xdr:row>
      <xdr:rowOff>161400</xdr:rowOff>
    </xdr:from>
    <xdr:to>
      <xdr:col>5</xdr:col>
      <xdr:colOff>503617</xdr:colOff>
      <xdr:row>5</xdr:row>
      <xdr:rowOff>164572</xdr:rowOff>
    </xdr:to>
    <xdr:cxnSp macro="">
      <xdr:nvCxnSpPr>
        <xdr:cNvPr id="30" name="Straight Arrow Connector 29"/>
        <xdr:cNvCxnSpPr/>
      </xdr:nvCxnSpPr>
      <xdr:spPr>
        <a:xfrm>
          <a:off x="4569736" y="1742550"/>
          <a:ext cx="1391706"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xdr:colOff>
      <xdr:row>6</xdr:row>
      <xdr:rowOff>252412</xdr:rowOff>
    </xdr:from>
    <xdr:to>
      <xdr:col>2</xdr:col>
      <xdr:colOff>336551</xdr:colOff>
      <xdr:row>6</xdr:row>
      <xdr:rowOff>531811</xdr:rowOff>
    </xdr:to>
    <xdr:cxnSp macro="">
      <xdr:nvCxnSpPr>
        <xdr:cNvPr id="31" name="Straight Connector 30"/>
        <xdr:cNvCxnSpPr/>
      </xdr:nvCxnSpPr>
      <xdr:spPr>
        <a:xfrm rot="5400000">
          <a:off x="2347913" y="2209799"/>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1114425</xdr:colOff>
      <xdr:row>6</xdr:row>
      <xdr:rowOff>338140</xdr:rowOff>
    </xdr:from>
    <xdr:to>
      <xdr:col>4</xdr:col>
      <xdr:colOff>1311275</xdr:colOff>
      <xdr:row>6</xdr:row>
      <xdr:rowOff>338140</xdr:rowOff>
    </xdr:to>
    <xdr:cxnSp macro="">
      <xdr:nvCxnSpPr>
        <xdr:cNvPr id="32" name="Straight Connector 31"/>
        <xdr:cNvCxnSpPr/>
      </xdr:nvCxnSpPr>
      <xdr:spPr>
        <a:xfrm rot="10800000">
          <a:off x="1114425" y="2157415"/>
          <a:ext cx="398780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6</xdr:row>
      <xdr:rowOff>266700</xdr:rowOff>
    </xdr:from>
    <xdr:to>
      <xdr:col>2</xdr:col>
      <xdr:colOff>355601</xdr:colOff>
      <xdr:row>6</xdr:row>
      <xdr:rowOff>546099</xdr:rowOff>
    </xdr:to>
    <xdr:cxnSp macro="">
      <xdr:nvCxnSpPr>
        <xdr:cNvPr id="33" name="Straight Connector 32"/>
        <xdr:cNvCxnSpPr/>
      </xdr:nvCxnSpPr>
      <xdr:spPr>
        <a:xfrm rot="5400000">
          <a:off x="2366963" y="2224087"/>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1304925</xdr:colOff>
      <xdr:row>6</xdr:row>
      <xdr:rowOff>342904</xdr:rowOff>
    </xdr:from>
    <xdr:to>
      <xdr:col>4</xdr:col>
      <xdr:colOff>1304925</xdr:colOff>
      <xdr:row>6</xdr:row>
      <xdr:rowOff>525784</xdr:rowOff>
    </xdr:to>
    <xdr:cxnSp macro="">
      <xdr:nvCxnSpPr>
        <xdr:cNvPr id="34" name="Straight Connector 33"/>
        <xdr:cNvCxnSpPr/>
      </xdr:nvCxnSpPr>
      <xdr:spPr>
        <a:xfrm rot="5400000">
          <a:off x="5004435" y="225361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1123950</xdr:colOff>
      <xdr:row>6</xdr:row>
      <xdr:rowOff>349254</xdr:rowOff>
    </xdr:from>
    <xdr:to>
      <xdr:col>0</xdr:col>
      <xdr:colOff>1123950</xdr:colOff>
      <xdr:row>6</xdr:row>
      <xdr:rowOff>532134</xdr:rowOff>
    </xdr:to>
    <xdr:cxnSp macro="">
      <xdr:nvCxnSpPr>
        <xdr:cNvPr id="35" name="Straight Connector 34"/>
        <xdr:cNvCxnSpPr/>
      </xdr:nvCxnSpPr>
      <xdr:spPr>
        <a:xfrm rot="5400000">
          <a:off x="1032510" y="2259969"/>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13</xdr:row>
      <xdr:rowOff>38100</xdr:rowOff>
    </xdr:from>
    <xdr:to>
      <xdr:col>11</xdr:col>
      <xdr:colOff>561975</xdr:colOff>
      <xdr:row>15</xdr:row>
      <xdr:rowOff>271992</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333377</xdr:colOff>
      <xdr:row>1</xdr:row>
      <xdr:rowOff>50539</xdr:rowOff>
    </xdr:from>
    <xdr:to>
      <xdr:col>11</xdr:col>
      <xdr:colOff>1227299</xdr:colOff>
      <xdr:row>10</xdr:row>
      <xdr:rowOff>281997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35718</xdr:rowOff>
    </xdr:from>
    <xdr:to>
      <xdr:col>5</xdr:col>
      <xdr:colOff>1452564</xdr:colOff>
      <xdr:row>17</xdr:row>
      <xdr:rowOff>160074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340180</xdr:colOff>
      <xdr:row>10</xdr:row>
      <xdr:rowOff>476250</xdr:rowOff>
    </xdr:from>
    <xdr:to>
      <xdr:col>11</xdr:col>
      <xdr:colOff>1265465</xdr:colOff>
      <xdr:row>18</xdr:row>
      <xdr:rowOff>62933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248151</xdr:colOff>
      <xdr:row>0</xdr:row>
      <xdr:rowOff>19050</xdr:rowOff>
    </xdr:from>
    <xdr:to>
      <xdr:col>0</xdr:col>
      <xdr:colOff>1710690</xdr:colOff>
      <xdr:row>0</xdr:row>
      <xdr:rowOff>381000</xdr:rowOff>
    </xdr:to>
    <xdr:pic>
      <xdr:nvPicPr>
        <xdr:cNvPr id="10" name="Picture 9" descr="http://www.wa.gov/esd/marketing/images/logos/jpeg/worksource_logo-2-colo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151" y="19050"/>
          <a:ext cx="146253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459166</xdr:colOff>
      <xdr:row>1</xdr:row>
      <xdr:rowOff>9525</xdr:rowOff>
    </xdr:from>
    <xdr:to>
      <xdr:col>12</xdr:col>
      <xdr:colOff>97217</xdr:colOff>
      <xdr:row>10</xdr:row>
      <xdr:rowOff>218955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30542</xdr:colOff>
      <xdr:row>10</xdr:row>
      <xdr:rowOff>221191</xdr:rowOff>
    </xdr:from>
    <xdr:to>
      <xdr:col>4</xdr:col>
      <xdr:colOff>439059</xdr:colOff>
      <xdr:row>18</xdr:row>
      <xdr:rowOff>521758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434183</xdr:colOff>
      <xdr:row>10</xdr:row>
      <xdr:rowOff>218578</xdr:rowOff>
    </xdr:from>
    <xdr:to>
      <xdr:col>8</xdr:col>
      <xdr:colOff>514616</xdr:colOff>
      <xdr:row>18</xdr:row>
      <xdr:rowOff>519145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466725</xdr:colOff>
      <xdr:row>10</xdr:row>
      <xdr:rowOff>220740</xdr:rowOff>
    </xdr:from>
    <xdr:to>
      <xdr:col>12</xdr:col>
      <xdr:colOff>47625</xdr:colOff>
      <xdr:row>18</xdr:row>
      <xdr:rowOff>521307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781961</xdr:colOff>
      <xdr:row>5</xdr:row>
      <xdr:rowOff>175687</xdr:rowOff>
    </xdr:from>
    <xdr:to>
      <xdr:col>5</xdr:col>
      <xdr:colOff>506792</xdr:colOff>
      <xdr:row>5</xdr:row>
      <xdr:rowOff>178859</xdr:rowOff>
    </xdr:to>
    <xdr:cxnSp macro="">
      <xdr:nvCxnSpPr>
        <xdr:cNvPr id="33" name="Straight Arrow Connector 32"/>
        <xdr:cNvCxnSpPr/>
      </xdr:nvCxnSpPr>
      <xdr:spPr>
        <a:xfrm>
          <a:off x="4572911" y="1756837"/>
          <a:ext cx="1382181" cy="3172"/>
        </a:xfrm>
        <a:prstGeom prst="straightConnector1">
          <a:avLst/>
        </a:prstGeom>
        <a:ln w="635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168126</xdr:colOff>
      <xdr:row>1</xdr:row>
      <xdr:rowOff>95250</xdr:rowOff>
    </xdr:from>
    <xdr:to>
      <xdr:col>6</xdr:col>
      <xdr:colOff>266699</xdr:colOff>
      <xdr:row>10</xdr:row>
      <xdr:rowOff>130175</xdr:rowOff>
    </xdr:to>
    <xdr:grpSp>
      <xdr:nvGrpSpPr>
        <xdr:cNvPr id="36" name="Group 35"/>
        <xdr:cNvGrpSpPr/>
      </xdr:nvGrpSpPr>
      <xdr:grpSpPr>
        <a:xfrm>
          <a:off x="168126" y="554182"/>
          <a:ext cx="6116641" cy="2719243"/>
          <a:chOff x="168126" y="551089"/>
          <a:chExt cx="6092519" cy="2688318"/>
        </a:xfrm>
      </xdr:grpSpPr>
      <xdr:cxnSp macro="">
        <xdr:nvCxnSpPr>
          <xdr:cNvPr id="21" name="Straight Connector 20"/>
          <xdr:cNvCxnSpPr/>
        </xdr:nvCxnSpPr>
        <xdr:spPr>
          <a:xfrm rot="10800000" flipV="1">
            <a:off x="1362985" y="906916"/>
            <a:ext cx="423333" cy="109009"/>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a:endCxn id="23" idx="0"/>
          </xdr:cNvCxnSpPr>
        </xdr:nvCxnSpPr>
        <xdr:spPr>
          <a:xfrm rot="16200000" flipH="1">
            <a:off x="2412776" y="1334484"/>
            <a:ext cx="191558" cy="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rot="5400000">
            <a:off x="1007110" y="2257247"/>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nvGrpSpPr>
          <xdr:cNvPr id="35" name="Group 34"/>
          <xdr:cNvGrpSpPr/>
        </xdr:nvGrpSpPr>
        <xdr:grpSpPr>
          <a:xfrm>
            <a:off x="168126" y="551089"/>
            <a:ext cx="6092519" cy="2688318"/>
            <a:chOff x="168126" y="551089"/>
            <a:chExt cx="6092519" cy="2688318"/>
          </a:xfrm>
        </xdr:grpSpPr>
        <xdr:grpSp>
          <xdr:nvGrpSpPr>
            <xdr:cNvPr id="13" name="Group 12"/>
            <xdr:cNvGrpSpPr/>
          </xdr:nvGrpSpPr>
          <xdr:grpSpPr>
            <a:xfrm>
              <a:off x="1786317" y="551089"/>
              <a:ext cx="3582761" cy="713015"/>
              <a:chOff x="866775" y="542925"/>
              <a:chExt cx="2209800" cy="809625"/>
            </a:xfrm>
            <a:noFill/>
            <a:scene3d>
              <a:camera prst="orthographicFront">
                <a:rot lat="0" lon="0" rev="0"/>
              </a:camera>
              <a:lightRig rig="soft" dir="t">
                <a:rot lat="0" lon="0" rev="0"/>
              </a:lightRig>
            </a:scene3d>
          </xdr:grpSpPr>
          <xdr:sp macro="" textlink="">
            <xdr:nvSpPr>
              <xdr:cNvPr id="11" name="Rectangle 10"/>
              <xdr:cNvSpPr/>
            </xdr:nvSpPr>
            <xdr:spPr>
              <a:xfrm>
                <a:off x="866775"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800" b="1">
                    <a:solidFill>
                      <a:sysClr val="windowText" lastClr="000000"/>
                    </a:solidFill>
                  </a:rPr>
                  <a:t>All</a:t>
                </a:r>
                <a:r>
                  <a:rPr lang="en-US" sz="1800" b="1" baseline="0">
                    <a:solidFill>
                      <a:sysClr val="windowText" lastClr="000000"/>
                    </a:solidFill>
                  </a:rPr>
                  <a:t> Customers</a:t>
                </a:r>
                <a:endParaRPr lang="en-US" sz="1800" b="1">
                  <a:solidFill>
                    <a:sysClr val="windowText" lastClr="000000"/>
                  </a:solidFill>
                </a:endParaRPr>
              </a:p>
            </xdr:txBody>
          </xdr:sp>
          <xdr:sp macro="" textlink="'State Data'!C5">
            <xdr:nvSpPr>
              <xdr:cNvPr id="12" name="TextBox 11"/>
              <xdr:cNvSpPr txBox="1"/>
            </xdr:nvSpPr>
            <xdr:spPr>
              <a:xfrm>
                <a:off x="1619251" y="933451"/>
                <a:ext cx="781049"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48D843C9-2598-4BA4-A1C9-C6463C363833}" type="TxLink">
                  <a:rPr lang="en-US" sz="1200" b="1" i="0" u="none" strike="noStrike">
                    <a:solidFill>
                      <a:srgbClr val="000000"/>
                    </a:solidFill>
                    <a:latin typeface="Calibri"/>
                    <a:cs typeface="Calibri"/>
                  </a:rPr>
                  <a:pPr algn="ctr"/>
                  <a:t>170,822</a:t>
                </a:fld>
                <a:endParaRPr lang="en-US" sz="1100" b="1">
                  <a:solidFill>
                    <a:sysClr val="windowText" lastClr="000000"/>
                  </a:solidFill>
                </a:endParaRPr>
              </a:p>
            </xdr:txBody>
          </xdr:sp>
        </xdr:grpSp>
        <xdr:grpSp>
          <xdr:nvGrpSpPr>
            <xdr:cNvPr id="19" name="Group 18"/>
            <xdr:cNvGrpSpPr/>
          </xdr:nvGrpSpPr>
          <xdr:grpSpPr>
            <a:xfrm>
              <a:off x="168126" y="610357"/>
              <a:ext cx="1194858" cy="812497"/>
              <a:chOff x="3334038" y="421828"/>
              <a:chExt cx="1371599" cy="942975"/>
            </a:xfrm>
            <a:noFill/>
            <a:effectLst>
              <a:outerShdw blurRad="50800" dist="38100" dir="2700000" algn="tl" rotWithShape="0">
                <a:prstClr val="black">
                  <a:alpha val="40000"/>
                </a:prstClr>
              </a:outerShdw>
            </a:effectLst>
            <a:scene3d>
              <a:camera prst="orthographicFront">
                <a:rot lat="0" lon="0" rev="0"/>
              </a:camera>
              <a:lightRig rig="contrasting" dir="t">
                <a:rot lat="0" lon="0" rev="1500000"/>
              </a:lightRig>
            </a:scene3d>
          </xdr:grpSpPr>
          <xdr:sp macro="" textlink="">
            <xdr:nvSpPr>
              <xdr:cNvPr id="17" name="Rectangle 16"/>
              <xdr:cNvSpPr/>
            </xdr:nvSpPr>
            <xdr:spPr>
              <a:xfrm>
                <a:off x="3334038" y="421828"/>
                <a:ext cx="1371599" cy="9429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a:solidFill>
                      <a:sysClr val="windowText" lastClr="000000"/>
                    </a:solidFill>
                  </a:rPr>
                  <a:t>Self-Service Only</a:t>
                </a:r>
              </a:p>
            </xdr:txBody>
          </xdr:sp>
          <xdr:sp macro="" textlink="'State Data'!C7">
            <xdr:nvSpPr>
              <xdr:cNvPr id="18" name="TextBox 17"/>
              <xdr:cNvSpPr txBox="1"/>
            </xdr:nvSpPr>
            <xdr:spPr>
              <a:xfrm>
                <a:off x="3582838" y="955485"/>
                <a:ext cx="876300" cy="34970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B98F3F1A-4168-4F55-B12B-35B388E331D3}" type="TxLink">
                  <a:rPr lang="en-US" sz="1200" b="1" i="0" u="none" strike="noStrike">
                    <a:solidFill>
                      <a:srgbClr val="000000"/>
                    </a:solidFill>
                    <a:latin typeface="Calibri"/>
                    <a:cs typeface="Calibri"/>
                  </a:rPr>
                  <a:pPr algn="ctr"/>
                  <a:t>67,274</a:t>
                </a:fld>
                <a:endParaRPr lang="en-US" sz="1100" b="1">
                  <a:solidFill>
                    <a:sysClr val="windowText" lastClr="000000"/>
                  </a:solidFill>
                </a:endParaRPr>
              </a:p>
            </xdr:txBody>
          </xdr:sp>
        </xdr:grpSp>
        <xdr:grpSp>
          <xdr:nvGrpSpPr>
            <xdr:cNvPr id="22" name="Group 21"/>
            <xdr:cNvGrpSpPr/>
          </xdr:nvGrpSpPr>
          <xdr:grpSpPr>
            <a:xfrm>
              <a:off x="1702711" y="1430265"/>
              <a:ext cx="2862036" cy="647700"/>
              <a:chOff x="751249" y="542925"/>
              <a:chExt cx="2209800" cy="809625"/>
            </a:xfrm>
            <a:noFill/>
            <a:scene3d>
              <a:camera prst="orthographicFront">
                <a:rot lat="0" lon="0" rev="0"/>
              </a:camera>
              <a:lightRig rig="soft" dir="t">
                <a:rot lat="0" lon="0" rev="0"/>
              </a:lightRig>
            </a:scene3d>
          </xdr:grpSpPr>
          <xdr:sp macro="" textlink="">
            <xdr:nvSpPr>
              <xdr:cNvPr id="23" name="Rectangle 22"/>
              <xdr:cNvSpPr/>
            </xdr:nvSpPr>
            <xdr:spPr>
              <a:xfrm>
                <a:off x="751249" y="542925"/>
                <a:ext cx="2209800" cy="8096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400" b="1" baseline="0">
                    <a:solidFill>
                      <a:sysClr val="windowText" lastClr="000000"/>
                    </a:solidFill>
                  </a:rPr>
                  <a:t>Staff-Assisted  Customers</a:t>
                </a:r>
                <a:endParaRPr lang="en-US" sz="1400" b="1">
                  <a:solidFill>
                    <a:sysClr val="windowText" lastClr="000000"/>
                  </a:solidFill>
                </a:endParaRPr>
              </a:p>
            </xdr:txBody>
          </xdr:sp>
          <xdr:sp macro="" textlink="'State Data'!C6">
            <xdr:nvSpPr>
              <xdr:cNvPr id="24" name="TextBox 23"/>
              <xdr:cNvSpPr txBox="1"/>
            </xdr:nvSpPr>
            <xdr:spPr>
              <a:xfrm>
                <a:off x="1253379" y="964195"/>
                <a:ext cx="1256822" cy="2857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fld id="{D40E9D23-C018-4876-B1B4-C654AA7DF6CB}" type="TxLink">
                  <a:rPr lang="en-US" sz="1200" b="1" i="0" u="none" strike="noStrike">
                    <a:solidFill>
                      <a:srgbClr val="000000"/>
                    </a:solidFill>
                    <a:latin typeface="Calibri"/>
                    <a:cs typeface="Calibri"/>
                  </a:rPr>
                  <a:pPr algn="ctr"/>
                  <a:t>103,548</a:t>
                </a:fld>
                <a:endParaRPr lang="en-US" sz="1100" b="1">
                  <a:solidFill>
                    <a:sysClr val="windowText" lastClr="000000"/>
                  </a:solidFill>
                </a:endParaRPr>
              </a:p>
            </xdr:txBody>
          </xdr:sp>
        </xdr:grpSp>
        <xdr:sp macro="" textlink="">
          <xdr:nvSpPr>
            <xdr:cNvPr id="37" name="Rectangle 36"/>
            <xdr:cNvSpPr/>
          </xdr:nvSpPr>
          <xdr:spPr>
            <a:xfrm>
              <a:off x="430593" y="2353127"/>
              <a:ext cx="1435100" cy="86723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 Only </a:t>
              </a:r>
              <a:endParaRPr lang="en-US" sz="1200" b="1">
                <a:solidFill>
                  <a:sysClr val="windowText" lastClr="000000"/>
                </a:solidFill>
              </a:endParaRPr>
            </a:p>
          </xdr:txBody>
        </xdr:sp>
        <xdr:sp macro="" textlink="'State Data'!C8">
          <xdr:nvSpPr>
            <xdr:cNvPr id="38" name="TextBox 37"/>
            <xdr:cNvSpPr txBox="1"/>
          </xdr:nvSpPr>
          <xdr:spPr>
            <a:xfrm>
              <a:off x="716343" y="2813955"/>
              <a:ext cx="914400" cy="25717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8455471-81CD-4775-9FC6-F8CB8E6CA167}" type="TxLink">
                <a:rPr lang="en-US" sz="1200" b="1" i="0" u="none" strike="noStrike">
                  <a:solidFill>
                    <a:srgbClr val="000000"/>
                  </a:solidFill>
                  <a:latin typeface="Calibri"/>
                  <a:cs typeface="Calibri"/>
                </a:rPr>
                <a:pPr algn="ctr"/>
                <a:t>90,872</a:t>
              </a:fld>
              <a:endParaRPr lang="en-US" sz="1300" b="1">
                <a:solidFill>
                  <a:sysClr val="windowText" lastClr="000000"/>
                </a:solidFill>
              </a:endParaRPr>
            </a:p>
          </xdr:txBody>
        </xdr:sp>
        <xdr:sp macro="" textlink="">
          <xdr:nvSpPr>
            <xdr:cNvPr id="41" name="Rectangle 40"/>
            <xdr:cNvSpPr/>
          </xdr:nvSpPr>
          <xdr:spPr>
            <a:xfrm>
              <a:off x="4257827" y="2367943"/>
              <a:ext cx="2002818" cy="87146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lang="en-US" sz="1200" b="1" baseline="0">
                  <a:solidFill>
                    <a:sysClr val="windowText" lastClr="000000"/>
                  </a:solidFill>
                </a:rPr>
                <a:t>          Training</a:t>
              </a:r>
            </a:p>
            <a:p>
              <a:pPr algn="l"/>
              <a:r>
                <a:rPr lang="en-US" sz="1200" b="1" baseline="0">
                  <a:solidFill>
                    <a:sysClr val="windowText" lastClr="000000"/>
                  </a:solidFill>
                </a:rPr>
                <a:t>               New:</a:t>
              </a:r>
            </a:p>
            <a:p>
              <a:pPr algn="l"/>
              <a:r>
                <a:rPr lang="en-US" sz="1200" b="1" baseline="0">
                  <a:solidFill>
                    <a:sysClr val="windowText" lastClr="000000"/>
                  </a:solidFill>
                </a:rPr>
                <a:t>        Ongoing:</a:t>
              </a:r>
            </a:p>
            <a:p>
              <a:pPr algn="l"/>
              <a:r>
                <a:rPr lang="en-US" sz="1200" b="1" baseline="0">
                  <a:solidFill>
                    <a:sysClr val="windowText" lastClr="000000"/>
                  </a:solidFill>
                </a:rPr>
                <a:t>      Complete:</a:t>
              </a:r>
            </a:p>
            <a:p>
              <a:pPr algn="ctr"/>
              <a:endParaRPr lang="en-US" sz="1200" b="1">
                <a:solidFill>
                  <a:sysClr val="windowText" lastClr="000000"/>
                </a:solidFill>
              </a:endParaRPr>
            </a:p>
          </xdr:txBody>
        </xdr:sp>
        <xdr:sp macro="" textlink="'State Data'!C11">
          <xdr:nvSpPr>
            <xdr:cNvPr id="42" name="TextBox 41"/>
            <xdr:cNvSpPr txBox="1"/>
          </xdr:nvSpPr>
          <xdr:spPr>
            <a:xfrm>
              <a:off x="5346854" y="2763158"/>
              <a:ext cx="789967" cy="222249"/>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E0B5390-0D93-43C5-8F78-3D1F88345809}" type="TxLink">
                <a:rPr lang="en-US" sz="1200" b="1" i="0" u="none" strike="noStrike">
                  <a:solidFill>
                    <a:srgbClr val="000000"/>
                  </a:solidFill>
                  <a:latin typeface="Calibri"/>
                  <a:cs typeface="Calibri"/>
                </a:rPr>
                <a:pPr algn="ctr"/>
                <a:t>7,511</a:t>
              </a:fld>
              <a:endParaRPr lang="en-US" sz="1300" b="1">
                <a:solidFill>
                  <a:sysClr val="windowText" lastClr="000000"/>
                </a:solidFill>
              </a:endParaRPr>
            </a:p>
          </xdr:txBody>
        </xdr:sp>
        <xdr:sp macro="" textlink="">
          <xdr:nvSpPr>
            <xdr:cNvPr id="39" name="Rectangle 38"/>
            <xdr:cNvSpPr/>
          </xdr:nvSpPr>
          <xdr:spPr>
            <a:xfrm>
              <a:off x="2078417" y="2362652"/>
              <a:ext cx="1963511" cy="87675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t"/>
            <a:lstStyle/>
            <a:p>
              <a:pPr algn="ctr"/>
              <a:r>
                <a:rPr lang="en-US" sz="1200" b="1" baseline="0">
                  <a:solidFill>
                    <a:sysClr val="windowText" lastClr="000000"/>
                  </a:solidFill>
                </a:rPr>
                <a:t>Core/Intensive Only</a:t>
              </a:r>
              <a:endParaRPr lang="en-US" sz="1200" b="1">
                <a:solidFill>
                  <a:sysClr val="windowText" lastClr="000000"/>
                </a:solidFill>
              </a:endParaRPr>
            </a:p>
          </xdr:txBody>
        </xdr:sp>
        <xdr:sp macro="" textlink="'State Data'!C10">
          <xdr:nvSpPr>
            <xdr:cNvPr id="68" name="TextBox 67"/>
            <xdr:cNvSpPr txBox="1"/>
          </xdr:nvSpPr>
          <xdr:spPr>
            <a:xfrm>
              <a:off x="5368020" y="2580672"/>
              <a:ext cx="740226" cy="195185"/>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66AFEEE-A0F4-4521-8899-3190FBA9DA5D}" type="TxLink">
                <a:rPr lang="en-US" sz="1200" b="1" i="0" u="none" strike="noStrike">
                  <a:solidFill>
                    <a:srgbClr val="000000"/>
                  </a:solidFill>
                  <a:latin typeface="Calibri"/>
                  <a:cs typeface="Calibri"/>
                </a:rPr>
                <a:pPr algn="ctr"/>
                <a:t>2,042</a:t>
              </a:fld>
              <a:endParaRPr lang="en-US" sz="1300" b="1">
                <a:solidFill>
                  <a:sysClr val="windowText" lastClr="000000"/>
                </a:solidFill>
              </a:endParaRPr>
            </a:p>
          </xdr:txBody>
        </xdr:sp>
        <xdr:sp macro="" textlink="'State Data'!C12">
          <xdr:nvSpPr>
            <xdr:cNvPr id="34" name="TextBox 33"/>
            <xdr:cNvSpPr txBox="1"/>
          </xdr:nvSpPr>
          <xdr:spPr>
            <a:xfrm>
              <a:off x="5264304" y="2973766"/>
              <a:ext cx="901092" cy="211666"/>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40AD1E7-980C-4674-B379-13A3BC74F818}" type="TxLink">
                <a:rPr lang="en-US" sz="1200" b="1" i="0" u="none" strike="noStrike">
                  <a:solidFill>
                    <a:srgbClr val="000000"/>
                  </a:solidFill>
                  <a:latin typeface="Calibri"/>
                  <a:cs typeface="Calibri"/>
                </a:rPr>
                <a:pPr algn="ctr"/>
                <a:t>1,822</a:t>
              </a:fld>
              <a:endParaRPr lang="en-US" sz="1300" b="1">
                <a:solidFill>
                  <a:sysClr val="windowText" lastClr="000000"/>
                </a:solidFill>
              </a:endParaRPr>
            </a:p>
          </xdr:txBody>
        </xdr:sp>
        <xdr:sp macro="" textlink="'State Data'!C9">
          <xdr:nvSpPr>
            <xdr:cNvPr id="40" name="TextBox 39"/>
            <xdr:cNvSpPr txBox="1"/>
          </xdr:nvSpPr>
          <xdr:spPr>
            <a:xfrm>
              <a:off x="2168979" y="2809723"/>
              <a:ext cx="1737632" cy="251884"/>
            </a:xfrm>
            <a:prstGeom prst="rect">
              <a:avLst/>
            </a:prstGeom>
            <a:noFill/>
            <a:ln w="9525" cmpd="sng">
              <a:noFill/>
            </a:ln>
            <a:effectLst/>
            <a:scene3d>
              <a:camera prst="orthographicFront">
                <a:rot lat="0" lon="0" rev="0"/>
              </a:camera>
              <a:lightRig rig="soft" dir="t">
                <a:rot lat="0" lon="0" rev="0"/>
              </a:lightRig>
            </a:scene3d>
            <a:sp3d contourW="4445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10D5E0D-CBC3-4B0D-B45E-CBEB007849C5}" type="TxLink">
                <a:rPr lang="en-US" sz="1200" b="1" i="0" u="none" strike="noStrike">
                  <a:solidFill>
                    <a:srgbClr val="000000"/>
                  </a:solidFill>
                  <a:latin typeface="Calibri"/>
                  <a:cs typeface="Calibri"/>
                </a:rPr>
                <a:pPr algn="ctr"/>
                <a:t>10,634</a:t>
              </a:fld>
              <a:endParaRPr lang="en-US" sz="1300" b="1">
                <a:solidFill>
                  <a:sysClr val="windowText" lastClr="000000"/>
                </a:solidFill>
              </a:endParaRPr>
            </a:p>
          </xdr:txBody>
        </xdr:sp>
        <xdr:cxnSp macro="">
          <xdr:nvCxnSpPr>
            <xdr:cNvPr id="32" name="Straight Connector 31"/>
            <xdr:cNvCxnSpPr/>
          </xdr:nvCxnSpPr>
          <xdr:spPr>
            <a:xfrm rot="5400000">
              <a:off x="2319792" y="2221365"/>
              <a:ext cx="279399" cy="317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rot="5400000">
              <a:off x="4961346" y="2269947"/>
              <a:ext cx="182880" cy="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rot="10800000">
              <a:off x="1089025" y="2168981"/>
              <a:ext cx="3979636" cy="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476250</xdr:colOff>
      <xdr:row>12</xdr:row>
      <xdr:rowOff>180974</xdr:rowOff>
    </xdr:from>
    <xdr:to>
      <xdr:col>11</xdr:col>
      <xdr:colOff>542925</xdr:colOff>
      <xdr:row>15</xdr:row>
      <xdr:rowOff>357716</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357188</xdr:colOff>
      <xdr:row>1</xdr:row>
      <xdr:rowOff>140496</xdr:rowOff>
    </xdr:from>
    <xdr:to>
      <xdr:col>11</xdr:col>
      <xdr:colOff>1251110</xdr:colOff>
      <xdr:row>10</xdr:row>
      <xdr:rowOff>371954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0</xdr:row>
      <xdr:rowOff>42334</xdr:rowOff>
    </xdr:from>
    <xdr:to>
      <xdr:col>1</xdr:col>
      <xdr:colOff>910409</xdr:colOff>
      <xdr:row>0</xdr:row>
      <xdr:rowOff>493168</xdr:rowOff>
    </xdr:to>
    <xdr:pic>
      <xdr:nvPicPr>
        <xdr:cNvPr id="11" name="Picture 10" descr="http://www.wa.gov/esd/marketing/images/logos/jpeg/worksource_logo-2-colo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42334"/>
          <a:ext cx="1587742" cy="45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23811</xdr:colOff>
      <xdr:row>1</xdr:row>
      <xdr:rowOff>125675</xdr:rowOff>
    </xdr:from>
    <xdr:to>
      <xdr:col>5</xdr:col>
      <xdr:colOff>1578429</xdr:colOff>
      <xdr:row>18</xdr:row>
      <xdr:rowOff>122464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312964</xdr:colOff>
      <xdr:row>10</xdr:row>
      <xdr:rowOff>489857</xdr:rowOff>
    </xdr:from>
    <xdr:to>
      <xdr:col>11</xdr:col>
      <xdr:colOff>1279073</xdr:colOff>
      <xdr:row>18</xdr:row>
      <xdr:rowOff>119063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285750</xdr:colOff>
          <xdr:row>0</xdr:row>
          <xdr:rowOff>28575</xdr:rowOff>
        </xdr:from>
        <xdr:to>
          <xdr:col>17</xdr:col>
          <xdr:colOff>695325</xdr:colOff>
          <xdr:row>13</xdr:row>
          <xdr:rowOff>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1104900</xdr:colOff>
      <xdr:row>36</xdr:row>
      <xdr:rowOff>76200</xdr:rowOff>
    </xdr:from>
    <xdr:to>
      <xdr:col>8</xdr:col>
      <xdr:colOff>1704975</xdr:colOff>
      <xdr:row>50</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895350</xdr:colOff>
      <xdr:row>146</xdr:row>
      <xdr:rowOff>85725</xdr:rowOff>
    </xdr:from>
    <xdr:to>
      <xdr:col>9</xdr:col>
      <xdr:colOff>238124</xdr:colOff>
      <xdr:row>159</xdr:row>
      <xdr:rowOff>146957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1352550</xdr:colOff>
      <xdr:row>143</xdr:row>
      <xdr:rowOff>209550</xdr:rowOff>
    </xdr:from>
    <xdr:to>
      <xdr:col>5</xdr:col>
      <xdr:colOff>1343025</xdr:colOff>
      <xdr:row>159</xdr:row>
      <xdr:rowOff>57150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2188713</xdr:colOff>
      <xdr:row>32</xdr:row>
      <xdr:rowOff>223162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20</xdr:row>
      <xdr:rowOff>0</xdr:rowOff>
    </xdr:from>
    <xdr:to>
      <xdr:col>8</xdr:col>
      <xdr:colOff>818474</xdr:colOff>
      <xdr:row>32</xdr:row>
      <xdr:rowOff>221461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238124</xdr:colOff>
      <xdr:row>0</xdr:row>
      <xdr:rowOff>123824</xdr:rowOff>
    </xdr:from>
    <xdr:to>
      <xdr:col>7</xdr:col>
      <xdr:colOff>85725</xdr:colOff>
      <xdr:row>15</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581024</xdr:colOff>
      <xdr:row>0</xdr:row>
      <xdr:rowOff>180974</xdr:rowOff>
    </xdr:from>
    <xdr:to>
      <xdr:col>14</xdr:col>
      <xdr:colOff>333375</xdr:colOff>
      <xdr:row>20</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15</xdr:row>
      <xdr:rowOff>152400</xdr:rowOff>
    </xdr:from>
    <xdr:to>
      <xdr:col>7</xdr:col>
      <xdr:colOff>123825</xdr:colOff>
      <xdr:row>31</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auswork\develop\1999\YT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Seas"/>
      <sheetName val="LastLink"/>
      <sheetName val="LinkToLss"/>
    </sheetNames>
    <sheetDataSet>
      <sheetData sheetId="0" refreshError="1"/>
      <sheetData sheetId="1" refreshError="1"/>
      <sheetData sheetId="2" refreshError="1"/>
      <sheetData sheetId="3">
        <row r="2">
          <cell r="B2" t="str">
            <v>ST5300001</v>
          </cell>
          <cell r="C2">
            <v>3140760</v>
          </cell>
          <cell r="D2">
            <v>344250</v>
          </cell>
          <cell r="E2">
            <v>3485010</v>
          </cell>
          <cell r="F2">
            <v>9.9</v>
          </cell>
          <cell r="G2">
            <v>3485010</v>
          </cell>
          <cell r="H2">
            <v>3140760</v>
          </cell>
          <cell r="I2">
            <v>344250</v>
          </cell>
          <cell r="J2">
            <v>9.9</v>
          </cell>
        </row>
        <row r="3">
          <cell r="B3" t="str">
            <v>ST5300002</v>
          </cell>
          <cell r="C3">
            <v>3150690</v>
          </cell>
          <cell r="D3">
            <v>346680</v>
          </cell>
          <cell r="E3">
            <v>3497370</v>
          </cell>
          <cell r="F3">
            <v>9.9</v>
          </cell>
          <cell r="G3">
            <v>3491190</v>
          </cell>
          <cell r="H3">
            <v>3145720</v>
          </cell>
          <cell r="I3">
            <v>345470</v>
          </cell>
          <cell r="J3">
            <v>9.8954067387614622</v>
          </cell>
        </row>
        <row r="4">
          <cell r="B4" t="str">
            <v>ST5300003</v>
          </cell>
          <cell r="C4">
            <v>3153460</v>
          </cell>
          <cell r="D4">
            <v>343260</v>
          </cell>
          <cell r="E4">
            <v>3496720</v>
          </cell>
          <cell r="F4">
            <v>9.8000000000000007</v>
          </cell>
          <cell r="G4">
            <v>3493040</v>
          </cell>
          <cell r="H4">
            <v>3148300</v>
          </cell>
          <cell r="I4">
            <v>344730</v>
          </cell>
          <cell r="J4">
            <v>9.8691510765992678</v>
          </cell>
        </row>
        <row r="5">
          <cell r="B5" t="str">
            <v>ST5300004</v>
          </cell>
          <cell r="C5">
            <v>3144520</v>
          </cell>
          <cell r="D5">
            <v>312230</v>
          </cell>
          <cell r="E5">
            <v>3456750</v>
          </cell>
          <cell r="F5">
            <v>9</v>
          </cell>
          <cell r="G5">
            <v>3483960</v>
          </cell>
          <cell r="H5">
            <v>3147360</v>
          </cell>
          <cell r="I5">
            <v>336610</v>
          </cell>
          <cell r="J5">
            <v>9.6615945470737827</v>
          </cell>
        </row>
        <row r="6">
          <cell r="B6" t="str">
            <v>ST5300005</v>
          </cell>
          <cell r="C6">
            <v>3164270</v>
          </cell>
          <cell r="D6">
            <v>311630</v>
          </cell>
          <cell r="E6">
            <v>3475900</v>
          </cell>
          <cell r="F6">
            <v>9</v>
          </cell>
          <cell r="G6">
            <v>3482350</v>
          </cell>
          <cell r="H6">
            <v>3150740</v>
          </cell>
          <cell r="I6">
            <v>331610</v>
          </cell>
          <cell r="J6">
            <v>9.5226086381198165</v>
          </cell>
        </row>
        <row r="7">
          <cell r="B7" t="str">
            <v>ST5300006</v>
          </cell>
          <cell r="C7">
            <v>3162990</v>
          </cell>
          <cell r="D7">
            <v>326160</v>
          </cell>
          <cell r="E7">
            <v>3489150</v>
          </cell>
          <cell r="F7">
            <v>9.3000000000000007</v>
          </cell>
          <cell r="G7">
            <v>3483480</v>
          </cell>
          <cell r="H7">
            <v>3152780</v>
          </cell>
          <cell r="I7">
            <v>330700</v>
          </cell>
          <cell r="J7">
            <v>9.4934198521039619</v>
          </cell>
        </row>
        <row r="8">
          <cell r="B8" t="str">
            <v>ST5300007</v>
          </cell>
          <cell r="C8">
            <v>3162440</v>
          </cell>
          <cell r="D8">
            <v>311030</v>
          </cell>
          <cell r="E8">
            <v>3473470</v>
          </cell>
          <cell r="F8">
            <v>9</v>
          </cell>
          <cell r="G8">
            <v>3482050</v>
          </cell>
          <cell r="H8">
            <v>3154160</v>
          </cell>
          <cell r="I8">
            <v>327890</v>
          </cell>
          <cell r="J8">
            <v>9.4166006923092045</v>
          </cell>
        </row>
        <row r="9">
          <cell r="B9" t="str">
            <v>ST5300008</v>
          </cell>
          <cell r="C9" t="str">
            <v/>
          </cell>
          <cell r="D9" t="str">
            <v/>
          </cell>
          <cell r="E9" t="e">
            <v>#VALUE!</v>
          </cell>
          <cell r="F9" t="str">
            <v/>
          </cell>
          <cell r="G9" t="str">
            <v/>
          </cell>
          <cell r="H9" t="str">
            <v/>
          </cell>
          <cell r="I9" t="str">
            <v/>
          </cell>
          <cell r="J9" t="str">
            <v/>
          </cell>
        </row>
        <row r="10">
          <cell r="B10" t="str">
            <v>ST5300009</v>
          </cell>
          <cell r="C10" t="str">
            <v/>
          </cell>
          <cell r="D10" t="str">
            <v/>
          </cell>
          <cell r="E10" t="e">
            <v>#VALUE!</v>
          </cell>
          <cell r="F10" t="str">
            <v/>
          </cell>
          <cell r="G10" t="str">
            <v/>
          </cell>
          <cell r="H10" t="str">
            <v/>
          </cell>
          <cell r="I10" t="str">
            <v/>
          </cell>
          <cell r="J10" t="str">
            <v/>
          </cell>
        </row>
        <row r="11">
          <cell r="B11" t="str">
            <v>ST53000010</v>
          </cell>
          <cell r="C11" t="str">
            <v/>
          </cell>
          <cell r="D11" t="str">
            <v/>
          </cell>
          <cell r="E11" t="e">
            <v>#VALUE!</v>
          </cell>
          <cell r="F11" t="str">
            <v/>
          </cell>
          <cell r="G11" t="str">
            <v/>
          </cell>
          <cell r="H11" t="str">
            <v/>
          </cell>
          <cell r="I11" t="str">
            <v/>
          </cell>
          <cell r="J11" t="str">
            <v/>
          </cell>
        </row>
        <row r="12">
          <cell r="B12" t="str">
            <v>ST53000011</v>
          </cell>
          <cell r="C12" t="str">
            <v/>
          </cell>
          <cell r="D12" t="str">
            <v/>
          </cell>
          <cell r="E12" t="e">
            <v>#VALUE!</v>
          </cell>
          <cell r="F12" t="str">
            <v/>
          </cell>
          <cell r="G12" t="str">
            <v/>
          </cell>
          <cell r="H12" t="str">
            <v/>
          </cell>
          <cell r="I12" t="str">
            <v/>
          </cell>
          <cell r="J12" t="str">
            <v/>
          </cell>
        </row>
        <row r="13">
          <cell r="B13" t="str">
            <v>ST53000012</v>
          </cell>
          <cell r="C13" t="str">
            <v/>
          </cell>
          <cell r="D13" t="str">
            <v/>
          </cell>
          <cell r="E13" t="e">
            <v>#VALUE!</v>
          </cell>
          <cell r="F13" t="str">
            <v/>
          </cell>
          <cell r="G13" t="str">
            <v/>
          </cell>
          <cell r="H13" t="str">
            <v/>
          </cell>
          <cell r="I13" t="str">
            <v/>
          </cell>
          <cell r="J13" t="str">
            <v/>
          </cell>
        </row>
        <row r="14">
          <cell r="B14" t="str">
            <v>PT5301321</v>
          </cell>
          <cell r="C14">
            <v>7710</v>
          </cell>
          <cell r="D14">
            <v>760</v>
          </cell>
          <cell r="E14">
            <v>8470</v>
          </cell>
          <cell r="F14">
            <v>8.9</v>
          </cell>
          <cell r="G14">
            <v>8470</v>
          </cell>
          <cell r="H14">
            <v>7710</v>
          </cell>
          <cell r="I14">
            <v>760</v>
          </cell>
          <cell r="J14">
            <v>8.9</v>
          </cell>
        </row>
        <row r="15">
          <cell r="B15" t="str">
            <v>PT5301322</v>
          </cell>
          <cell r="C15">
            <v>7760</v>
          </cell>
          <cell r="D15">
            <v>790</v>
          </cell>
          <cell r="E15">
            <v>8550</v>
          </cell>
          <cell r="F15">
            <v>9.3000000000000007</v>
          </cell>
          <cell r="G15">
            <v>8510</v>
          </cell>
          <cell r="H15">
            <v>7730</v>
          </cell>
          <cell r="I15">
            <v>780</v>
          </cell>
          <cell r="J15">
            <v>9.1144149967679375</v>
          </cell>
        </row>
        <row r="16">
          <cell r="B16" t="str">
            <v>PT5301323</v>
          </cell>
          <cell r="C16">
            <v>7730</v>
          </cell>
          <cell r="D16">
            <v>760</v>
          </cell>
          <cell r="E16">
            <v>8490</v>
          </cell>
          <cell r="F16">
            <v>9</v>
          </cell>
          <cell r="G16">
            <v>8500</v>
          </cell>
          <cell r="H16">
            <v>7730</v>
          </cell>
          <cell r="I16">
            <v>770</v>
          </cell>
          <cell r="J16">
            <v>9.0759399380562176</v>
          </cell>
        </row>
        <row r="17">
          <cell r="B17" t="str">
            <v>PT5301324</v>
          </cell>
          <cell r="C17">
            <v>7650</v>
          </cell>
          <cell r="D17">
            <v>680</v>
          </cell>
          <cell r="E17">
            <v>8330</v>
          </cell>
          <cell r="F17">
            <v>8.1</v>
          </cell>
          <cell r="G17">
            <v>8460</v>
          </cell>
          <cell r="H17">
            <v>7710</v>
          </cell>
          <cell r="I17">
            <v>750</v>
          </cell>
          <cell r="J17">
            <v>8.840742492314968</v>
          </cell>
        </row>
        <row r="18">
          <cell r="B18" t="str">
            <v>PT5301325</v>
          </cell>
          <cell r="C18">
            <v>7690</v>
          </cell>
          <cell r="D18">
            <v>670</v>
          </cell>
          <cell r="E18">
            <v>8360</v>
          </cell>
          <cell r="F18">
            <v>8</v>
          </cell>
          <cell r="G18">
            <v>8440</v>
          </cell>
          <cell r="H18">
            <v>7710</v>
          </cell>
          <cell r="I18">
            <v>730</v>
          </cell>
          <cell r="J18">
            <v>8.6718490780679716</v>
          </cell>
        </row>
        <row r="19">
          <cell r="B19" t="str">
            <v>PT5301326</v>
          </cell>
          <cell r="C19">
            <v>7690</v>
          </cell>
          <cell r="D19">
            <v>760</v>
          </cell>
          <cell r="E19">
            <v>8450</v>
          </cell>
          <cell r="F19">
            <v>9</v>
          </cell>
          <cell r="G19">
            <v>8440</v>
          </cell>
          <cell r="H19">
            <v>7700</v>
          </cell>
          <cell r="I19">
            <v>740</v>
          </cell>
          <cell r="J19">
            <v>8.7313653865139695</v>
          </cell>
        </row>
        <row r="20">
          <cell r="B20" t="str">
            <v>PT5301327</v>
          </cell>
          <cell r="C20">
            <v>7680</v>
          </cell>
          <cell r="D20">
            <v>750</v>
          </cell>
          <cell r="E20">
            <v>8430</v>
          </cell>
          <cell r="F20">
            <v>8.9</v>
          </cell>
          <cell r="G20">
            <v>8440</v>
          </cell>
          <cell r="H20">
            <v>7700</v>
          </cell>
          <cell r="I20">
            <v>740</v>
          </cell>
          <cell r="J20">
            <v>8.7562205897288337</v>
          </cell>
        </row>
        <row r="21">
          <cell r="B21" t="str">
            <v>PT5301328</v>
          </cell>
          <cell r="C21" t="str">
            <v/>
          </cell>
          <cell r="D21" t="str">
            <v/>
          </cell>
          <cell r="E21" t="e">
            <v>#VALUE!</v>
          </cell>
          <cell r="F21" t="str">
            <v/>
          </cell>
          <cell r="G21" t="str">
            <v/>
          </cell>
          <cell r="H21" t="str">
            <v/>
          </cell>
          <cell r="I21" t="str">
            <v/>
          </cell>
          <cell r="J21" t="str">
            <v/>
          </cell>
        </row>
        <row r="22">
          <cell r="B22" t="str">
            <v>PT5301329</v>
          </cell>
          <cell r="C22" t="str">
            <v/>
          </cell>
          <cell r="D22" t="str">
            <v/>
          </cell>
          <cell r="E22" t="e">
            <v>#VALUE!</v>
          </cell>
          <cell r="F22" t="str">
            <v/>
          </cell>
          <cell r="G22" t="str">
            <v/>
          </cell>
          <cell r="H22" t="str">
            <v/>
          </cell>
          <cell r="I22" t="str">
            <v/>
          </cell>
          <cell r="J22" t="str">
            <v/>
          </cell>
        </row>
        <row r="23">
          <cell r="B23" t="str">
            <v>PT53013210</v>
          </cell>
          <cell r="C23" t="str">
            <v/>
          </cell>
          <cell r="D23" t="str">
            <v/>
          </cell>
          <cell r="E23" t="e">
            <v>#VALUE!</v>
          </cell>
          <cell r="F23" t="str">
            <v/>
          </cell>
          <cell r="G23" t="str">
            <v/>
          </cell>
          <cell r="H23" t="str">
            <v/>
          </cell>
          <cell r="I23" t="str">
            <v/>
          </cell>
          <cell r="J23" t="str">
            <v/>
          </cell>
        </row>
        <row r="24">
          <cell r="B24" t="str">
            <v>PT53013211</v>
          </cell>
          <cell r="C24" t="str">
            <v/>
          </cell>
          <cell r="D24" t="str">
            <v/>
          </cell>
          <cell r="E24" t="e">
            <v>#VALUE!</v>
          </cell>
          <cell r="F24" t="str">
            <v/>
          </cell>
          <cell r="G24" t="str">
            <v/>
          </cell>
          <cell r="H24" t="str">
            <v/>
          </cell>
          <cell r="I24" t="str">
            <v/>
          </cell>
          <cell r="J24" t="str">
            <v/>
          </cell>
        </row>
        <row r="25">
          <cell r="B25" t="str">
            <v>PT53013212</v>
          </cell>
          <cell r="C25" t="str">
            <v/>
          </cell>
          <cell r="D25" t="str">
            <v/>
          </cell>
          <cell r="E25" t="e">
            <v>#VALUE!</v>
          </cell>
          <cell r="F25" t="str">
            <v/>
          </cell>
          <cell r="G25" t="str">
            <v/>
          </cell>
          <cell r="H25" t="str">
            <v/>
          </cell>
          <cell r="I25" t="str">
            <v/>
          </cell>
          <cell r="J25" t="str">
            <v/>
          </cell>
        </row>
        <row r="26">
          <cell r="B26" t="str">
            <v>PT5301311</v>
          </cell>
          <cell r="C26">
            <v>9890</v>
          </cell>
          <cell r="D26">
            <v>900</v>
          </cell>
          <cell r="E26">
            <v>10790</v>
          </cell>
          <cell r="F26">
            <v>8.4</v>
          </cell>
          <cell r="G26">
            <v>10800</v>
          </cell>
          <cell r="H26">
            <v>9890</v>
          </cell>
          <cell r="I26">
            <v>900</v>
          </cell>
          <cell r="J26">
            <v>8.4</v>
          </cell>
        </row>
        <row r="27">
          <cell r="B27" t="str">
            <v>PT5301312</v>
          </cell>
          <cell r="C27">
            <v>9950</v>
          </cell>
          <cell r="D27">
            <v>890</v>
          </cell>
          <cell r="E27">
            <v>10840</v>
          </cell>
          <cell r="F27">
            <v>8.1999999999999993</v>
          </cell>
          <cell r="G27">
            <v>10820</v>
          </cell>
          <cell r="H27">
            <v>9920</v>
          </cell>
          <cell r="I27">
            <v>900</v>
          </cell>
          <cell r="J27">
            <v>8.2913527753385416</v>
          </cell>
        </row>
        <row r="28">
          <cell r="B28" t="str">
            <v>PT5301313</v>
          </cell>
          <cell r="C28">
            <v>9910</v>
          </cell>
          <cell r="D28">
            <v>890</v>
          </cell>
          <cell r="E28">
            <v>10800</v>
          </cell>
          <cell r="F28">
            <v>8.3000000000000007</v>
          </cell>
          <cell r="G28">
            <v>10810</v>
          </cell>
          <cell r="H28">
            <v>9920</v>
          </cell>
          <cell r="I28">
            <v>900</v>
          </cell>
          <cell r="J28">
            <v>8.2850450006164476</v>
          </cell>
        </row>
        <row r="29">
          <cell r="B29" t="str">
            <v>PT5301314</v>
          </cell>
          <cell r="C29">
            <v>9810</v>
          </cell>
          <cell r="D29">
            <v>790</v>
          </cell>
          <cell r="E29">
            <v>10600</v>
          </cell>
          <cell r="F29">
            <v>7.4</v>
          </cell>
          <cell r="G29">
            <v>10760</v>
          </cell>
          <cell r="H29">
            <v>9890</v>
          </cell>
          <cell r="I29">
            <v>870</v>
          </cell>
          <cell r="J29">
            <v>8.0708112628937823</v>
          </cell>
        </row>
        <row r="30">
          <cell r="B30" t="str">
            <v>PT5301315</v>
          </cell>
          <cell r="C30">
            <v>9870</v>
          </cell>
          <cell r="D30">
            <v>770</v>
          </cell>
          <cell r="E30">
            <v>10640</v>
          </cell>
          <cell r="F30">
            <v>7.2</v>
          </cell>
          <cell r="G30">
            <v>10740</v>
          </cell>
          <cell r="H30">
            <v>9890</v>
          </cell>
          <cell r="I30">
            <v>850</v>
          </cell>
          <cell r="J30">
            <v>7.8985115776531725</v>
          </cell>
        </row>
        <row r="31">
          <cell r="B31" t="str">
            <v>PT5301316</v>
          </cell>
          <cell r="C31">
            <v>9860</v>
          </cell>
          <cell r="D31">
            <v>870</v>
          </cell>
          <cell r="E31">
            <v>10730</v>
          </cell>
          <cell r="F31">
            <v>8.1</v>
          </cell>
          <cell r="G31">
            <v>10740</v>
          </cell>
          <cell r="H31">
            <v>9880</v>
          </cell>
          <cell r="I31">
            <v>850</v>
          </cell>
          <cell r="J31">
            <v>7.9272174007545297</v>
          </cell>
        </row>
        <row r="32">
          <cell r="B32" t="str">
            <v>PT5301317</v>
          </cell>
          <cell r="C32">
            <v>9860</v>
          </cell>
          <cell r="D32">
            <v>840</v>
          </cell>
          <cell r="E32">
            <v>10700</v>
          </cell>
          <cell r="F32">
            <v>7.9</v>
          </cell>
          <cell r="G32">
            <v>10730</v>
          </cell>
          <cell r="H32">
            <v>9880</v>
          </cell>
          <cell r="I32">
            <v>850</v>
          </cell>
          <cell r="J32">
            <v>7.9216093514931236</v>
          </cell>
        </row>
        <row r="33">
          <cell r="B33" t="str">
            <v>PT5301318</v>
          </cell>
          <cell r="C33" t="str">
            <v/>
          </cell>
          <cell r="D33" t="str">
            <v/>
          </cell>
          <cell r="E33" t="e">
            <v>#VALUE!</v>
          </cell>
          <cell r="F33" t="str">
            <v/>
          </cell>
          <cell r="G33" t="str">
            <v/>
          </cell>
          <cell r="H33" t="str">
            <v/>
          </cell>
          <cell r="I33" t="str">
            <v/>
          </cell>
          <cell r="J33" t="str">
            <v/>
          </cell>
        </row>
        <row r="34">
          <cell r="B34" t="str">
            <v>PT5301319</v>
          </cell>
          <cell r="C34" t="str">
            <v/>
          </cell>
          <cell r="D34" t="str">
            <v/>
          </cell>
          <cell r="E34" t="e">
            <v>#VALUE!</v>
          </cell>
          <cell r="F34" t="str">
            <v/>
          </cell>
          <cell r="G34" t="str">
            <v/>
          </cell>
          <cell r="H34" t="str">
            <v/>
          </cell>
          <cell r="I34" t="str">
            <v/>
          </cell>
          <cell r="J34" t="str">
            <v/>
          </cell>
        </row>
        <row r="35">
          <cell r="B35" t="str">
            <v>PT53013110</v>
          </cell>
          <cell r="C35" t="str">
            <v/>
          </cell>
          <cell r="D35" t="str">
            <v/>
          </cell>
          <cell r="E35" t="e">
            <v>#VALUE!</v>
          </cell>
          <cell r="F35" t="str">
            <v/>
          </cell>
          <cell r="G35" t="str">
            <v/>
          </cell>
          <cell r="H35" t="str">
            <v/>
          </cell>
          <cell r="I35" t="str">
            <v/>
          </cell>
          <cell r="J35" t="str">
            <v/>
          </cell>
        </row>
        <row r="36">
          <cell r="B36" t="str">
            <v>PT53013111</v>
          </cell>
          <cell r="C36" t="str">
            <v/>
          </cell>
          <cell r="D36" t="str">
            <v/>
          </cell>
          <cell r="E36" t="e">
            <v>#VALUE!</v>
          </cell>
          <cell r="F36" t="str">
            <v/>
          </cell>
          <cell r="G36" t="str">
            <v/>
          </cell>
          <cell r="H36" t="str">
            <v/>
          </cell>
          <cell r="I36" t="str">
            <v/>
          </cell>
          <cell r="J36" t="str">
            <v/>
          </cell>
        </row>
        <row r="37">
          <cell r="B37" t="str">
            <v>PT53013112</v>
          </cell>
          <cell r="C37" t="str">
            <v/>
          </cell>
          <cell r="D37" t="str">
            <v/>
          </cell>
          <cell r="E37" t="e">
            <v>#VALUE!</v>
          </cell>
          <cell r="F37" t="str">
            <v/>
          </cell>
          <cell r="G37" t="str">
            <v/>
          </cell>
          <cell r="H37" t="str">
            <v/>
          </cell>
          <cell r="I37" t="str">
            <v/>
          </cell>
          <cell r="J37" t="str">
            <v/>
          </cell>
        </row>
        <row r="38">
          <cell r="B38" t="str">
            <v>PT5300521</v>
          </cell>
          <cell r="C38">
            <v>26500</v>
          </cell>
          <cell r="D38">
            <v>2790</v>
          </cell>
          <cell r="E38">
            <v>29290</v>
          </cell>
          <cell r="F38">
            <v>9.5</v>
          </cell>
          <cell r="G38">
            <v>29290</v>
          </cell>
          <cell r="H38">
            <v>26500</v>
          </cell>
          <cell r="I38">
            <v>2790</v>
          </cell>
          <cell r="J38">
            <v>9.5</v>
          </cell>
        </row>
        <row r="39">
          <cell r="B39" t="str">
            <v>PT5300522</v>
          </cell>
          <cell r="C39">
            <v>26650</v>
          </cell>
          <cell r="D39">
            <v>2830</v>
          </cell>
          <cell r="E39">
            <v>29480</v>
          </cell>
          <cell r="F39">
            <v>9.6</v>
          </cell>
          <cell r="G39">
            <v>29380</v>
          </cell>
          <cell r="H39">
            <v>26570</v>
          </cell>
          <cell r="I39">
            <v>2810</v>
          </cell>
          <cell r="J39">
            <v>9.5664307105907973</v>
          </cell>
        </row>
        <row r="40">
          <cell r="B40" t="str">
            <v>PT5300523</v>
          </cell>
          <cell r="C40">
            <v>26550</v>
          </cell>
          <cell r="D40">
            <v>2790</v>
          </cell>
          <cell r="E40">
            <v>29340</v>
          </cell>
          <cell r="F40">
            <v>9.5</v>
          </cell>
          <cell r="G40">
            <v>29370</v>
          </cell>
          <cell r="H40">
            <v>26570</v>
          </cell>
          <cell r="I40">
            <v>2800</v>
          </cell>
          <cell r="J40">
            <v>9.5454287497871864</v>
          </cell>
        </row>
        <row r="41">
          <cell r="B41" t="str">
            <v>PT5300524</v>
          </cell>
          <cell r="C41">
            <v>26280</v>
          </cell>
          <cell r="D41">
            <v>2630</v>
          </cell>
          <cell r="E41">
            <v>28910</v>
          </cell>
          <cell r="F41">
            <v>9.1</v>
          </cell>
          <cell r="G41">
            <v>29260</v>
          </cell>
          <cell r="H41">
            <v>26490</v>
          </cell>
          <cell r="I41">
            <v>2760</v>
          </cell>
          <cell r="J41">
            <v>9.4359132121585017</v>
          </cell>
        </row>
        <row r="42">
          <cell r="B42" t="str">
            <v>PT5300525</v>
          </cell>
          <cell r="C42">
            <v>26440</v>
          </cell>
          <cell r="D42">
            <v>2660</v>
          </cell>
          <cell r="E42">
            <v>29100</v>
          </cell>
          <cell r="F42">
            <v>9.1999999999999993</v>
          </cell>
          <cell r="G42">
            <v>29220</v>
          </cell>
          <cell r="H42">
            <v>26480</v>
          </cell>
          <cell r="I42">
            <v>2740</v>
          </cell>
          <cell r="J42">
            <v>9.3797690986360802</v>
          </cell>
        </row>
        <row r="43">
          <cell r="B43" t="str">
            <v>PT5300526</v>
          </cell>
          <cell r="C43">
            <v>26420</v>
          </cell>
          <cell r="D43">
            <v>2830</v>
          </cell>
          <cell r="E43">
            <v>29250</v>
          </cell>
          <cell r="F43">
            <v>9.6999999999999993</v>
          </cell>
          <cell r="G43">
            <v>29230</v>
          </cell>
          <cell r="H43">
            <v>26470</v>
          </cell>
          <cell r="I43">
            <v>2760</v>
          </cell>
          <cell r="J43">
            <v>9.4307023846180158</v>
          </cell>
        </row>
        <row r="44">
          <cell r="B44" t="str">
            <v>PT5300527</v>
          </cell>
          <cell r="C44">
            <v>26400</v>
          </cell>
          <cell r="D44">
            <v>2700</v>
          </cell>
          <cell r="E44">
            <v>29100</v>
          </cell>
          <cell r="F44">
            <v>9.3000000000000007</v>
          </cell>
          <cell r="G44">
            <v>29210</v>
          </cell>
          <cell r="H44">
            <v>26460</v>
          </cell>
          <cell r="I44">
            <v>2750</v>
          </cell>
          <cell r="J44">
            <v>9.4104873969306606</v>
          </cell>
        </row>
        <row r="45">
          <cell r="B45" t="str">
            <v>PT5300528</v>
          </cell>
          <cell r="C45" t="str">
            <v/>
          </cell>
          <cell r="D45" t="str">
            <v/>
          </cell>
          <cell r="E45" t="e">
            <v>#VALUE!</v>
          </cell>
          <cell r="F45" t="str">
            <v/>
          </cell>
          <cell r="G45" t="str">
            <v/>
          </cell>
          <cell r="H45" t="str">
            <v/>
          </cell>
          <cell r="I45" t="str">
            <v/>
          </cell>
          <cell r="J45" t="str">
            <v/>
          </cell>
        </row>
        <row r="46">
          <cell r="B46" t="str">
            <v>PT5300529</v>
          </cell>
          <cell r="C46" t="str">
            <v/>
          </cell>
          <cell r="D46" t="str">
            <v/>
          </cell>
          <cell r="E46" t="e">
            <v>#VALUE!</v>
          </cell>
          <cell r="F46" t="str">
            <v/>
          </cell>
          <cell r="G46" t="str">
            <v/>
          </cell>
          <cell r="H46" t="str">
            <v/>
          </cell>
          <cell r="I46" t="str">
            <v/>
          </cell>
          <cell r="J46" t="str">
            <v/>
          </cell>
        </row>
        <row r="47">
          <cell r="B47" t="str">
            <v>PT53005210</v>
          </cell>
          <cell r="C47" t="str">
            <v/>
          </cell>
          <cell r="D47" t="str">
            <v/>
          </cell>
          <cell r="E47" t="e">
            <v>#VALUE!</v>
          </cell>
          <cell r="F47" t="str">
            <v/>
          </cell>
          <cell r="G47" t="str">
            <v/>
          </cell>
          <cell r="H47" t="str">
            <v/>
          </cell>
          <cell r="I47" t="str">
            <v/>
          </cell>
          <cell r="J47" t="str">
            <v/>
          </cell>
        </row>
        <row r="48">
          <cell r="B48" t="str">
            <v>PT53005211</v>
          </cell>
          <cell r="C48" t="str">
            <v/>
          </cell>
          <cell r="D48" t="str">
            <v/>
          </cell>
          <cell r="E48" t="e">
            <v>#VALUE!</v>
          </cell>
          <cell r="F48" t="str">
            <v/>
          </cell>
          <cell r="G48" t="str">
            <v/>
          </cell>
          <cell r="H48" t="str">
            <v/>
          </cell>
          <cell r="I48" t="str">
            <v/>
          </cell>
          <cell r="J48" t="str">
            <v/>
          </cell>
        </row>
        <row r="49">
          <cell r="B49" t="str">
            <v>PT53005212</v>
          </cell>
          <cell r="C49" t="str">
            <v/>
          </cell>
          <cell r="D49" t="str">
            <v/>
          </cell>
          <cell r="E49" t="e">
            <v>#VALUE!</v>
          </cell>
          <cell r="F49" t="str">
            <v/>
          </cell>
          <cell r="G49" t="str">
            <v/>
          </cell>
          <cell r="H49" t="str">
            <v/>
          </cell>
          <cell r="I49" t="str">
            <v/>
          </cell>
          <cell r="J49" t="str">
            <v/>
          </cell>
        </row>
        <row r="50">
          <cell r="B50" t="str">
            <v>PT5300511</v>
          </cell>
          <cell r="C50">
            <v>2880</v>
          </cell>
          <cell r="D50">
            <v>160</v>
          </cell>
          <cell r="E50">
            <v>3040</v>
          </cell>
          <cell r="F50">
            <v>5.0999999999999996</v>
          </cell>
          <cell r="G50">
            <v>3030</v>
          </cell>
          <cell r="H50">
            <v>2880</v>
          </cell>
          <cell r="I50">
            <v>160</v>
          </cell>
          <cell r="J50">
            <v>5.0999999999999996</v>
          </cell>
        </row>
        <row r="51">
          <cell r="B51" t="str">
            <v>PT5300512</v>
          </cell>
          <cell r="C51">
            <v>2860</v>
          </cell>
          <cell r="D51">
            <v>170</v>
          </cell>
          <cell r="E51">
            <v>3030</v>
          </cell>
          <cell r="F51">
            <v>5.5</v>
          </cell>
          <cell r="G51">
            <v>3030</v>
          </cell>
          <cell r="H51">
            <v>2870</v>
          </cell>
          <cell r="I51">
            <v>160</v>
          </cell>
          <cell r="J51">
            <v>5.3014037985136246</v>
          </cell>
        </row>
        <row r="52">
          <cell r="B52" t="str">
            <v>PT5300513</v>
          </cell>
          <cell r="C52">
            <v>2860</v>
          </cell>
          <cell r="D52">
            <v>180</v>
          </cell>
          <cell r="E52">
            <v>3040</v>
          </cell>
          <cell r="F52">
            <v>5.9</v>
          </cell>
          <cell r="G52">
            <v>3030</v>
          </cell>
          <cell r="H52">
            <v>2870</v>
          </cell>
          <cell r="I52">
            <v>170</v>
          </cell>
          <cell r="J52">
            <v>5.5079155672823221</v>
          </cell>
        </row>
        <row r="53">
          <cell r="B53" t="str">
            <v>PT5300514</v>
          </cell>
          <cell r="C53">
            <v>2860</v>
          </cell>
          <cell r="D53">
            <v>150</v>
          </cell>
          <cell r="E53">
            <v>3010</v>
          </cell>
          <cell r="F53">
            <v>4.9000000000000004</v>
          </cell>
          <cell r="G53">
            <v>3020</v>
          </cell>
          <cell r="H53">
            <v>2860</v>
          </cell>
          <cell r="I53">
            <v>160</v>
          </cell>
          <cell r="J53">
            <v>5.3479914035377742</v>
          </cell>
        </row>
        <row r="54">
          <cell r="B54" t="str">
            <v>PT5300515</v>
          </cell>
          <cell r="C54">
            <v>2890</v>
          </cell>
          <cell r="D54">
            <v>150</v>
          </cell>
          <cell r="E54">
            <v>3040</v>
          </cell>
          <cell r="F54">
            <v>5</v>
          </cell>
          <cell r="G54">
            <v>3030</v>
          </cell>
          <cell r="H54">
            <v>2870</v>
          </cell>
          <cell r="I54">
            <v>160</v>
          </cell>
          <cell r="J54">
            <v>5.272547076313181</v>
          </cell>
        </row>
        <row r="55">
          <cell r="B55" t="str">
            <v>PT5300516</v>
          </cell>
          <cell r="C55">
            <v>2830</v>
          </cell>
          <cell r="D55">
            <v>170</v>
          </cell>
          <cell r="E55">
            <v>3000</v>
          </cell>
          <cell r="F55">
            <v>5.6</v>
          </cell>
          <cell r="G55">
            <v>3020</v>
          </cell>
          <cell r="H55">
            <v>2860</v>
          </cell>
          <cell r="I55">
            <v>160</v>
          </cell>
          <cell r="J55">
            <v>5.3223760410346914</v>
          </cell>
        </row>
        <row r="56">
          <cell r="B56" t="str">
            <v>PT5300517</v>
          </cell>
          <cell r="C56">
            <v>2790</v>
          </cell>
          <cell r="D56">
            <v>170</v>
          </cell>
          <cell r="E56">
            <v>2960</v>
          </cell>
          <cell r="F56">
            <v>5.6</v>
          </cell>
          <cell r="G56">
            <v>3010</v>
          </cell>
          <cell r="H56">
            <v>2850</v>
          </cell>
          <cell r="I56">
            <v>160</v>
          </cell>
          <cell r="J56">
            <v>5.3645116918844575</v>
          </cell>
        </row>
        <row r="57">
          <cell r="B57" t="str">
            <v>PT5300518</v>
          </cell>
          <cell r="C57" t="str">
            <v/>
          </cell>
          <cell r="D57" t="str">
            <v/>
          </cell>
          <cell r="E57" t="e">
            <v>#VALUE!</v>
          </cell>
          <cell r="F57" t="str">
            <v/>
          </cell>
          <cell r="G57" t="str">
            <v/>
          </cell>
          <cell r="H57" t="str">
            <v/>
          </cell>
          <cell r="I57" t="str">
            <v/>
          </cell>
          <cell r="J57" t="str">
            <v/>
          </cell>
        </row>
        <row r="58">
          <cell r="B58" t="str">
            <v>PT5300519</v>
          </cell>
          <cell r="C58" t="str">
            <v/>
          </cell>
          <cell r="D58" t="str">
            <v/>
          </cell>
          <cell r="E58" t="e">
            <v>#VALUE!</v>
          </cell>
          <cell r="F58" t="str">
            <v/>
          </cell>
          <cell r="G58" t="str">
            <v/>
          </cell>
          <cell r="H58" t="str">
            <v/>
          </cell>
          <cell r="I58" t="str">
            <v/>
          </cell>
          <cell r="J58" t="str">
            <v/>
          </cell>
        </row>
        <row r="59">
          <cell r="B59" t="str">
            <v>PT53005110</v>
          </cell>
          <cell r="C59" t="str">
            <v/>
          </cell>
          <cell r="D59" t="str">
            <v/>
          </cell>
          <cell r="E59" t="e">
            <v>#VALUE!</v>
          </cell>
          <cell r="F59" t="str">
            <v/>
          </cell>
          <cell r="G59" t="str">
            <v/>
          </cell>
          <cell r="H59" t="str">
            <v/>
          </cell>
          <cell r="I59" t="str">
            <v/>
          </cell>
          <cell r="J59" t="str">
            <v/>
          </cell>
        </row>
        <row r="60">
          <cell r="B60" t="str">
            <v>PT53005111</v>
          </cell>
          <cell r="C60" t="str">
            <v/>
          </cell>
          <cell r="D60" t="str">
            <v/>
          </cell>
          <cell r="E60" t="e">
            <v>#VALUE!</v>
          </cell>
          <cell r="F60" t="str">
            <v/>
          </cell>
          <cell r="G60" t="str">
            <v/>
          </cell>
          <cell r="H60" t="str">
            <v/>
          </cell>
          <cell r="I60" t="str">
            <v/>
          </cell>
          <cell r="J60" t="str">
            <v/>
          </cell>
        </row>
        <row r="61">
          <cell r="B61" t="str">
            <v>PT53005112</v>
          </cell>
          <cell r="C61" t="str">
            <v/>
          </cell>
          <cell r="D61" t="str">
            <v/>
          </cell>
          <cell r="E61" t="e">
            <v>#VALUE!</v>
          </cell>
          <cell r="F61" t="str">
            <v/>
          </cell>
          <cell r="G61" t="str">
            <v/>
          </cell>
          <cell r="H61" t="str">
            <v/>
          </cell>
          <cell r="I61" t="str">
            <v/>
          </cell>
          <cell r="J61" t="str">
            <v/>
          </cell>
        </row>
        <row r="62">
          <cell r="B62" t="str">
            <v>PS5303001</v>
          </cell>
          <cell r="C62">
            <v>340770</v>
          </cell>
          <cell r="D62">
            <v>38580</v>
          </cell>
          <cell r="E62">
            <v>379350</v>
          </cell>
          <cell r="F62">
            <v>10.199999999999999</v>
          </cell>
          <cell r="G62">
            <v>379360</v>
          </cell>
          <cell r="H62">
            <v>340770</v>
          </cell>
          <cell r="I62">
            <v>38580</v>
          </cell>
          <cell r="J62">
            <v>10.199999999999999</v>
          </cell>
        </row>
        <row r="63">
          <cell r="B63" t="str">
            <v>PS5303002</v>
          </cell>
          <cell r="C63">
            <v>342680</v>
          </cell>
          <cell r="D63">
            <v>39730</v>
          </cell>
          <cell r="E63">
            <v>382410</v>
          </cell>
          <cell r="F63">
            <v>10.4</v>
          </cell>
          <cell r="G63">
            <v>380880</v>
          </cell>
          <cell r="H63">
            <v>341730</v>
          </cell>
          <cell r="I63">
            <v>39150</v>
          </cell>
          <cell r="J63">
            <v>10.279982461713763</v>
          </cell>
        </row>
        <row r="64">
          <cell r="B64" t="str">
            <v>PS5303003</v>
          </cell>
          <cell r="C64">
            <v>341420</v>
          </cell>
          <cell r="D64">
            <v>38780</v>
          </cell>
          <cell r="E64">
            <v>380200</v>
          </cell>
          <cell r="F64">
            <v>10.199999999999999</v>
          </cell>
          <cell r="G64">
            <v>380650</v>
          </cell>
          <cell r="H64">
            <v>341630</v>
          </cell>
          <cell r="I64">
            <v>39030</v>
          </cell>
          <cell r="J64">
            <v>10.25305570588163</v>
          </cell>
        </row>
        <row r="65">
          <cell r="B65" t="str">
            <v>PS5303004</v>
          </cell>
          <cell r="C65">
            <v>338020</v>
          </cell>
          <cell r="D65">
            <v>35310</v>
          </cell>
          <cell r="E65">
            <v>373330</v>
          </cell>
          <cell r="F65">
            <v>9.5</v>
          </cell>
          <cell r="G65">
            <v>378820</v>
          </cell>
          <cell r="H65">
            <v>340720</v>
          </cell>
          <cell r="I65">
            <v>38100</v>
          </cell>
          <cell r="J65">
            <v>10.056933259331755</v>
          </cell>
        </row>
        <row r="66">
          <cell r="B66" t="str">
            <v>PS5303005</v>
          </cell>
          <cell r="C66">
            <v>339990</v>
          </cell>
          <cell r="D66">
            <v>34620</v>
          </cell>
          <cell r="E66">
            <v>374610</v>
          </cell>
          <cell r="F66">
            <v>9.1999999999999993</v>
          </cell>
          <cell r="G66">
            <v>377980</v>
          </cell>
          <cell r="H66">
            <v>340580</v>
          </cell>
          <cell r="I66">
            <v>37400</v>
          </cell>
          <cell r="J66">
            <v>9.8952319976294927</v>
          </cell>
        </row>
        <row r="67">
          <cell r="B67" t="str">
            <v>PS5303006</v>
          </cell>
          <cell r="C67">
            <v>339730</v>
          </cell>
          <cell r="D67">
            <v>38270</v>
          </cell>
          <cell r="E67">
            <v>378000</v>
          </cell>
          <cell r="F67">
            <v>10.1</v>
          </cell>
          <cell r="G67">
            <v>377980</v>
          </cell>
          <cell r="H67">
            <v>340440</v>
          </cell>
          <cell r="I67">
            <v>37550</v>
          </cell>
          <cell r="J67">
            <v>9.9334492412119957</v>
          </cell>
        </row>
        <row r="68">
          <cell r="B68" t="str">
            <v>PS5303007</v>
          </cell>
          <cell r="C68">
            <v>339470</v>
          </cell>
          <cell r="D68">
            <v>37800</v>
          </cell>
          <cell r="E68">
            <v>377270</v>
          </cell>
          <cell r="F68">
            <v>10</v>
          </cell>
          <cell r="G68">
            <v>377880</v>
          </cell>
          <cell r="H68">
            <v>340300</v>
          </cell>
          <cell r="I68">
            <v>37580</v>
          </cell>
          <cell r="J68">
            <v>9.9457840184397082</v>
          </cell>
        </row>
        <row r="69">
          <cell r="B69" t="str">
            <v>PS5303008</v>
          </cell>
          <cell r="C69" t="str">
            <v/>
          </cell>
          <cell r="D69" t="str">
            <v/>
          </cell>
          <cell r="E69" t="e">
            <v>#VALUE!</v>
          </cell>
          <cell r="F69" t="str">
            <v/>
          </cell>
          <cell r="G69" t="str">
            <v/>
          </cell>
          <cell r="H69" t="str">
            <v/>
          </cell>
          <cell r="I69" t="str">
            <v/>
          </cell>
          <cell r="J69" t="str">
            <v/>
          </cell>
        </row>
        <row r="70">
          <cell r="B70" t="str">
            <v>PS5303009</v>
          </cell>
          <cell r="C70" t="str">
            <v/>
          </cell>
          <cell r="D70" t="str">
            <v/>
          </cell>
          <cell r="E70" t="e">
            <v>#VALUE!</v>
          </cell>
          <cell r="F70" t="str">
            <v/>
          </cell>
          <cell r="G70" t="str">
            <v/>
          </cell>
          <cell r="H70" t="str">
            <v/>
          </cell>
          <cell r="I70" t="str">
            <v/>
          </cell>
          <cell r="J70" t="str">
            <v/>
          </cell>
        </row>
        <row r="71">
          <cell r="B71" t="str">
            <v>PS53030010</v>
          </cell>
          <cell r="C71" t="str">
            <v/>
          </cell>
          <cell r="D71" t="str">
            <v/>
          </cell>
          <cell r="E71" t="e">
            <v>#VALUE!</v>
          </cell>
          <cell r="F71" t="str">
            <v/>
          </cell>
          <cell r="G71" t="str">
            <v/>
          </cell>
          <cell r="H71" t="str">
            <v/>
          </cell>
          <cell r="I71" t="str">
            <v/>
          </cell>
          <cell r="J71" t="str">
            <v/>
          </cell>
        </row>
        <row r="72">
          <cell r="B72" t="str">
            <v>PS53030011</v>
          </cell>
          <cell r="C72" t="str">
            <v/>
          </cell>
          <cell r="D72" t="str">
            <v/>
          </cell>
          <cell r="E72" t="e">
            <v>#VALUE!</v>
          </cell>
          <cell r="F72" t="str">
            <v/>
          </cell>
          <cell r="G72" t="str">
            <v/>
          </cell>
          <cell r="H72" t="str">
            <v/>
          </cell>
          <cell r="I72" t="str">
            <v/>
          </cell>
          <cell r="J72" t="str">
            <v/>
          </cell>
        </row>
        <row r="73">
          <cell r="B73" t="str">
            <v>PS53030012</v>
          </cell>
          <cell r="C73" t="str">
            <v/>
          </cell>
          <cell r="D73" t="str">
            <v/>
          </cell>
          <cell r="E73" t="e">
            <v>#VALUE!</v>
          </cell>
          <cell r="F73" t="str">
            <v/>
          </cell>
          <cell r="G73" t="str">
            <v/>
          </cell>
          <cell r="H73" t="str">
            <v/>
          </cell>
          <cell r="I73" t="str">
            <v/>
          </cell>
          <cell r="J73" t="str">
            <v/>
          </cell>
        </row>
        <row r="74">
          <cell r="B74" t="str">
            <v>PS5302501</v>
          </cell>
          <cell r="C74">
            <v>1009150</v>
          </cell>
          <cell r="D74">
            <v>94050</v>
          </cell>
          <cell r="E74">
            <v>1103200</v>
          </cell>
          <cell r="F74">
            <v>8.5</v>
          </cell>
          <cell r="G74">
            <v>1103200</v>
          </cell>
          <cell r="H74">
            <v>1009150</v>
          </cell>
          <cell r="I74">
            <v>94050</v>
          </cell>
          <cell r="J74">
            <v>8.5</v>
          </cell>
        </row>
        <row r="75">
          <cell r="B75" t="str">
            <v>PS5302502</v>
          </cell>
          <cell r="C75">
            <v>1014800</v>
          </cell>
          <cell r="D75">
            <v>96330</v>
          </cell>
          <cell r="E75">
            <v>1111130</v>
          </cell>
          <cell r="F75">
            <v>8.6999999999999993</v>
          </cell>
          <cell r="G75">
            <v>1107160</v>
          </cell>
          <cell r="H75">
            <v>1011980</v>
          </cell>
          <cell r="I75">
            <v>95190</v>
          </cell>
          <cell r="J75">
            <v>8.5973790670389096</v>
          </cell>
        </row>
        <row r="76">
          <cell r="B76" t="str">
            <v>PS5302503</v>
          </cell>
          <cell r="C76">
            <v>1011080</v>
          </cell>
          <cell r="D76">
            <v>93940</v>
          </cell>
          <cell r="E76">
            <v>1105020</v>
          </cell>
          <cell r="F76">
            <v>8.5</v>
          </cell>
          <cell r="G76">
            <v>1106450</v>
          </cell>
          <cell r="H76">
            <v>1011680</v>
          </cell>
          <cell r="I76">
            <v>94770</v>
          </cell>
          <cell r="J76">
            <v>8.5653094603359765</v>
          </cell>
        </row>
        <row r="77">
          <cell r="B77" t="str">
            <v>PS5302504</v>
          </cell>
          <cell r="C77">
            <v>1000990</v>
          </cell>
          <cell r="D77">
            <v>87140</v>
          </cell>
          <cell r="E77">
            <v>1088130</v>
          </cell>
          <cell r="F77">
            <v>8</v>
          </cell>
          <cell r="G77">
            <v>1101870</v>
          </cell>
          <cell r="H77">
            <v>1009000</v>
          </cell>
          <cell r="I77">
            <v>92860</v>
          </cell>
          <cell r="J77">
            <v>8.4277620557285822</v>
          </cell>
        </row>
        <row r="78">
          <cell r="B78" t="str">
            <v>PS5302505</v>
          </cell>
          <cell r="C78">
            <v>1006830</v>
          </cell>
          <cell r="D78">
            <v>87300</v>
          </cell>
          <cell r="E78">
            <v>1094130</v>
          </cell>
          <cell r="F78">
            <v>8</v>
          </cell>
          <cell r="G78">
            <v>1100320</v>
          </cell>
          <cell r="H78">
            <v>1008570</v>
          </cell>
          <cell r="I78">
            <v>91750</v>
          </cell>
          <cell r="J78">
            <v>8.3384318519819143</v>
          </cell>
        </row>
        <row r="79">
          <cell r="B79" t="str">
            <v>PS5302506</v>
          </cell>
          <cell r="C79">
            <v>1006070</v>
          </cell>
          <cell r="D79">
            <v>97520</v>
          </cell>
          <cell r="E79">
            <v>1103590</v>
          </cell>
          <cell r="F79">
            <v>8.8000000000000007</v>
          </cell>
          <cell r="G79">
            <v>1100870</v>
          </cell>
          <cell r="H79">
            <v>1008150</v>
          </cell>
          <cell r="I79">
            <v>92710</v>
          </cell>
          <cell r="J79">
            <v>8.421709531185396</v>
          </cell>
        </row>
        <row r="80">
          <cell r="B80" t="str">
            <v>PS5302507</v>
          </cell>
          <cell r="C80">
            <v>1005280</v>
          </cell>
          <cell r="D80">
            <v>95100</v>
          </cell>
          <cell r="E80">
            <v>1100380</v>
          </cell>
          <cell r="F80">
            <v>8.6</v>
          </cell>
          <cell r="G80">
            <v>1100800</v>
          </cell>
          <cell r="H80">
            <v>1007740</v>
          </cell>
          <cell r="I80">
            <v>93050</v>
          </cell>
          <cell r="J80">
            <v>8.4532432686723578</v>
          </cell>
        </row>
        <row r="81">
          <cell r="B81" t="str">
            <v>PS5302508</v>
          </cell>
          <cell r="C81" t="str">
            <v/>
          </cell>
          <cell r="D81" t="str">
            <v/>
          </cell>
          <cell r="E81" t="e">
            <v>#VALUE!</v>
          </cell>
          <cell r="F81" t="str">
            <v/>
          </cell>
          <cell r="G81" t="str">
            <v/>
          </cell>
          <cell r="H81" t="str">
            <v/>
          </cell>
          <cell r="I81" t="str">
            <v/>
          </cell>
          <cell r="J81" t="str">
            <v/>
          </cell>
        </row>
        <row r="82">
          <cell r="B82" t="str">
            <v>PS5302509</v>
          </cell>
          <cell r="C82" t="str">
            <v/>
          </cell>
          <cell r="D82" t="str">
            <v/>
          </cell>
          <cell r="E82" t="e">
            <v>#VALUE!</v>
          </cell>
          <cell r="F82" t="str">
            <v/>
          </cell>
          <cell r="G82" t="str">
            <v/>
          </cell>
          <cell r="H82" t="str">
            <v/>
          </cell>
          <cell r="I82" t="str">
            <v/>
          </cell>
          <cell r="J82" t="str">
            <v/>
          </cell>
        </row>
        <row r="83">
          <cell r="B83" t="str">
            <v>PS53025010</v>
          </cell>
          <cell r="C83" t="str">
            <v/>
          </cell>
          <cell r="D83" t="str">
            <v/>
          </cell>
          <cell r="E83" t="e">
            <v>#VALUE!</v>
          </cell>
          <cell r="F83" t="str">
            <v/>
          </cell>
          <cell r="G83" t="str">
            <v/>
          </cell>
          <cell r="H83" t="str">
            <v/>
          </cell>
          <cell r="I83" t="str">
            <v/>
          </cell>
          <cell r="J83" t="str">
            <v/>
          </cell>
        </row>
        <row r="84">
          <cell r="B84" t="str">
            <v>PS53025011</v>
          </cell>
          <cell r="C84" t="str">
            <v/>
          </cell>
          <cell r="D84" t="str">
            <v/>
          </cell>
          <cell r="E84" t="e">
            <v>#VALUE!</v>
          </cell>
          <cell r="F84" t="str">
            <v/>
          </cell>
          <cell r="G84" t="str">
            <v/>
          </cell>
          <cell r="H84" t="str">
            <v/>
          </cell>
          <cell r="I84" t="str">
            <v/>
          </cell>
          <cell r="J84" t="str">
            <v/>
          </cell>
        </row>
        <row r="85">
          <cell r="B85" t="str">
            <v>PS53025012</v>
          </cell>
          <cell r="C85" t="str">
            <v/>
          </cell>
          <cell r="D85" t="str">
            <v/>
          </cell>
          <cell r="E85" t="e">
            <v>#VALUE!</v>
          </cell>
          <cell r="F85" t="str">
            <v/>
          </cell>
          <cell r="G85" t="str">
            <v/>
          </cell>
          <cell r="H85" t="str">
            <v/>
          </cell>
          <cell r="I85" t="str">
            <v/>
          </cell>
          <cell r="J85" t="str">
            <v/>
          </cell>
        </row>
        <row r="86">
          <cell r="B86" t="str">
            <v>PA5308501</v>
          </cell>
          <cell r="C86">
            <v>89120</v>
          </cell>
          <cell r="D86">
            <v>10120</v>
          </cell>
          <cell r="E86">
            <v>99240</v>
          </cell>
          <cell r="F86">
            <v>10.199999999999999</v>
          </cell>
          <cell r="G86">
            <v>99230</v>
          </cell>
          <cell r="H86">
            <v>89120</v>
          </cell>
          <cell r="I86">
            <v>10120</v>
          </cell>
          <cell r="J86">
            <v>10.199999999999999</v>
          </cell>
        </row>
        <row r="87">
          <cell r="B87" t="str">
            <v>PA5308502</v>
          </cell>
          <cell r="C87">
            <v>88500</v>
          </cell>
          <cell r="D87">
            <v>10170</v>
          </cell>
          <cell r="E87">
            <v>98670</v>
          </cell>
          <cell r="F87">
            <v>10.3</v>
          </cell>
          <cell r="G87">
            <v>98950</v>
          </cell>
          <cell r="H87">
            <v>88810</v>
          </cell>
          <cell r="I87">
            <v>10150</v>
          </cell>
          <cell r="J87">
            <v>10.253404411207399</v>
          </cell>
        </row>
        <row r="88">
          <cell r="B88" t="str">
            <v>PA5308503</v>
          </cell>
          <cell r="C88">
            <v>88630</v>
          </cell>
          <cell r="D88">
            <v>10280</v>
          </cell>
          <cell r="E88">
            <v>98910</v>
          </cell>
          <cell r="F88">
            <v>10.4</v>
          </cell>
          <cell r="G88">
            <v>98940</v>
          </cell>
          <cell r="H88">
            <v>88750</v>
          </cell>
          <cell r="I88">
            <v>10190</v>
          </cell>
          <cell r="J88">
            <v>10.300018530060811</v>
          </cell>
        </row>
        <row r="89">
          <cell r="B89" t="str">
            <v>PA5308504</v>
          </cell>
          <cell r="C89">
            <v>88470</v>
          </cell>
          <cell r="D89">
            <v>9530</v>
          </cell>
          <cell r="E89">
            <v>98000</v>
          </cell>
          <cell r="F89">
            <v>9.6999999999999993</v>
          </cell>
          <cell r="G89">
            <v>98700</v>
          </cell>
          <cell r="H89">
            <v>88680</v>
          </cell>
          <cell r="I89">
            <v>10030</v>
          </cell>
          <cell r="J89">
            <v>10.157110762707786</v>
          </cell>
        </row>
        <row r="90">
          <cell r="B90" t="str">
            <v>PA5308505</v>
          </cell>
          <cell r="C90">
            <v>89390</v>
          </cell>
          <cell r="D90">
            <v>9610</v>
          </cell>
          <cell r="E90">
            <v>99000</v>
          </cell>
          <cell r="F90">
            <v>9.6999999999999993</v>
          </cell>
          <cell r="G90">
            <v>98760</v>
          </cell>
          <cell r="H90">
            <v>88820</v>
          </cell>
          <cell r="I90">
            <v>9940</v>
          </cell>
          <cell r="J90">
            <v>10.067494638702192</v>
          </cell>
        </row>
        <row r="91">
          <cell r="B91" t="str">
            <v>PA5308506</v>
          </cell>
          <cell r="C91">
            <v>87620</v>
          </cell>
          <cell r="D91">
            <v>9960</v>
          </cell>
          <cell r="E91">
            <v>97580</v>
          </cell>
          <cell r="F91">
            <v>10.199999999999999</v>
          </cell>
          <cell r="G91">
            <v>98570</v>
          </cell>
          <cell r="H91">
            <v>88620</v>
          </cell>
          <cell r="I91">
            <v>9950</v>
          </cell>
          <cell r="J91">
            <v>10.091004704107895</v>
          </cell>
        </row>
        <row r="92">
          <cell r="B92" t="str">
            <v>PA5308507</v>
          </cell>
          <cell r="C92">
            <v>86280</v>
          </cell>
          <cell r="D92">
            <v>9740</v>
          </cell>
          <cell r="E92">
            <v>96020</v>
          </cell>
          <cell r="F92">
            <v>10.1</v>
          </cell>
          <cell r="G92">
            <v>98200</v>
          </cell>
          <cell r="H92">
            <v>88290</v>
          </cell>
          <cell r="I92">
            <v>9920</v>
          </cell>
          <cell r="J92">
            <v>10.098005129376372</v>
          </cell>
        </row>
        <row r="93">
          <cell r="B93" t="str">
            <v>PA5308508</v>
          </cell>
          <cell r="C93" t="str">
            <v/>
          </cell>
          <cell r="D93" t="str">
            <v/>
          </cell>
          <cell r="E93" t="e">
            <v>#VALUE!</v>
          </cell>
          <cell r="F93" t="str">
            <v/>
          </cell>
          <cell r="G93" t="str">
            <v/>
          </cell>
          <cell r="H93" t="str">
            <v/>
          </cell>
          <cell r="I93" t="str">
            <v/>
          </cell>
          <cell r="J93" t="str">
            <v/>
          </cell>
        </row>
        <row r="94">
          <cell r="B94" t="str">
            <v>PA5308509</v>
          </cell>
          <cell r="C94" t="str">
            <v/>
          </cell>
          <cell r="D94" t="str">
            <v/>
          </cell>
          <cell r="E94" t="e">
            <v>#VALUE!</v>
          </cell>
          <cell r="F94" t="str">
            <v/>
          </cell>
          <cell r="G94" t="str">
            <v/>
          </cell>
          <cell r="H94" t="str">
            <v/>
          </cell>
          <cell r="I94" t="str">
            <v/>
          </cell>
          <cell r="J94" t="str">
            <v/>
          </cell>
        </row>
        <row r="95">
          <cell r="B95" t="str">
            <v>PA53085010</v>
          </cell>
          <cell r="C95" t="str">
            <v/>
          </cell>
          <cell r="D95" t="str">
            <v/>
          </cell>
          <cell r="E95" t="e">
            <v>#VALUE!</v>
          </cell>
          <cell r="F95" t="str">
            <v/>
          </cell>
          <cell r="G95" t="str">
            <v/>
          </cell>
          <cell r="H95" t="str">
            <v/>
          </cell>
          <cell r="I95" t="str">
            <v/>
          </cell>
          <cell r="J95" t="str">
            <v/>
          </cell>
        </row>
        <row r="96">
          <cell r="B96" t="str">
            <v>PA53085011</v>
          </cell>
          <cell r="C96" t="str">
            <v/>
          </cell>
          <cell r="D96" t="str">
            <v/>
          </cell>
          <cell r="E96" t="e">
            <v>#VALUE!</v>
          </cell>
          <cell r="F96" t="str">
            <v/>
          </cell>
          <cell r="G96" t="str">
            <v/>
          </cell>
          <cell r="H96" t="str">
            <v/>
          </cell>
          <cell r="I96" t="str">
            <v/>
          </cell>
          <cell r="J96" t="str">
            <v/>
          </cell>
        </row>
        <row r="97">
          <cell r="B97" t="str">
            <v>PA53085012</v>
          </cell>
          <cell r="C97" t="str">
            <v/>
          </cell>
          <cell r="D97" t="str">
            <v/>
          </cell>
          <cell r="E97" t="e">
            <v>#VALUE!</v>
          </cell>
          <cell r="F97" t="str">
            <v/>
          </cell>
          <cell r="G97" t="str">
            <v/>
          </cell>
          <cell r="H97" t="str">
            <v/>
          </cell>
          <cell r="I97" t="str">
            <v/>
          </cell>
          <cell r="J97" t="str">
            <v/>
          </cell>
        </row>
        <row r="98">
          <cell r="B98" t="str">
            <v>PA5304001</v>
          </cell>
          <cell r="C98">
            <v>86580</v>
          </cell>
          <cell r="D98">
            <v>7470</v>
          </cell>
          <cell r="E98">
            <v>94050</v>
          </cell>
          <cell r="F98">
            <v>7.9</v>
          </cell>
          <cell r="G98">
            <v>94040</v>
          </cell>
          <cell r="H98">
            <v>86580</v>
          </cell>
          <cell r="I98">
            <v>7470</v>
          </cell>
          <cell r="J98">
            <v>7.9</v>
          </cell>
        </row>
        <row r="99">
          <cell r="B99" t="str">
            <v>PA5304002</v>
          </cell>
          <cell r="C99">
            <v>86900</v>
          </cell>
          <cell r="D99">
            <v>7310</v>
          </cell>
          <cell r="E99">
            <v>94210</v>
          </cell>
          <cell r="F99">
            <v>7.8</v>
          </cell>
          <cell r="G99">
            <v>94120</v>
          </cell>
          <cell r="H99">
            <v>86740</v>
          </cell>
          <cell r="I99">
            <v>7390</v>
          </cell>
          <cell r="J99">
            <v>7.8497930909921534</v>
          </cell>
        </row>
        <row r="100">
          <cell r="B100" t="str">
            <v>PA5304003</v>
          </cell>
          <cell r="C100">
            <v>88050</v>
          </cell>
          <cell r="D100">
            <v>7280</v>
          </cell>
          <cell r="E100">
            <v>95330</v>
          </cell>
          <cell r="F100">
            <v>7.6</v>
          </cell>
          <cell r="G100">
            <v>94520</v>
          </cell>
          <cell r="H100">
            <v>87170</v>
          </cell>
          <cell r="I100">
            <v>7350</v>
          </cell>
          <cell r="J100">
            <v>7.7764534125131357</v>
          </cell>
        </row>
        <row r="101">
          <cell r="B101" t="str">
            <v>PA5304004</v>
          </cell>
          <cell r="C101">
            <v>88330</v>
          </cell>
          <cell r="D101">
            <v>6490</v>
          </cell>
          <cell r="E101">
            <v>94820</v>
          </cell>
          <cell r="F101">
            <v>6.8</v>
          </cell>
          <cell r="G101">
            <v>94600</v>
          </cell>
          <cell r="H101">
            <v>87460</v>
          </cell>
          <cell r="I101">
            <v>7140</v>
          </cell>
          <cell r="J101">
            <v>7.5429314418304738</v>
          </cell>
        </row>
        <row r="102">
          <cell r="B102" t="str">
            <v>PA5304005</v>
          </cell>
          <cell r="C102">
            <v>88770</v>
          </cell>
          <cell r="D102">
            <v>6640</v>
          </cell>
          <cell r="E102">
            <v>95410</v>
          </cell>
          <cell r="F102">
            <v>7</v>
          </cell>
          <cell r="G102">
            <v>94760</v>
          </cell>
          <cell r="H102">
            <v>87720</v>
          </cell>
          <cell r="I102">
            <v>7040</v>
          </cell>
          <cell r="J102">
            <v>7.4244563622970912</v>
          </cell>
        </row>
        <row r="103">
          <cell r="B103" t="str">
            <v>PA5304006</v>
          </cell>
          <cell r="C103">
            <v>92020</v>
          </cell>
          <cell r="D103">
            <v>6940</v>
          </cell>
          <cell r="E103">
            <v>98960</v>
          </cell>
          <cell r="F103">
            <v>7</v>
          </cell>
          <cell r="G103">
            <v>95460</v>
          </cell>
          <cell r="H103">
            <v>88440</v>
          </cell>
          <cell r="I103">
            <v>7020</v>
          </cell>
          <cell r="J103">
            <v>7.3525200958174164</v>
          </cell>
        </row>
        <row r="104">
          <cell r="B104" t="str">
            <v>PA5304007</v>
          </cell>
          <cell r="C104">
            <v>90040</v>
          </cell>
          <cell r="D104">
            <v>6760</v>
          </cell>
          <cell r="E104">
            <v>96800</v>
          </cell>
          <cell r="F104">
            <v>7</v>
          </cell>
          <cell r="G104">
            <v>95650</v>
          </cell>
          <cell r="H104">
            <v>88670</v>
          </cell>
          <cell r="I104">
            <v>6980</v>
          </cell>
          <cell r="J104">
            <v>7.2994314167982219</v>
          </cell>
        </row>
        <row r="105">
          <cell r="B105" t="str">
            <v>PA5304008</v>
          </cell>
          <cell r="C105" t="str">
            <v/>
          </cell>
          <cell r="D105" t="str">
            <v/>
          </cell>
          <cell r="E105" t="e">
            <v>#VALUE!</v>
          </cell>
          <cell r="F105" t="str">
            <v/>
          </cell>
          <cell r="G105" t="str">
            <v/>
          </cell>
          <cell r="H105" t="str">
            <v/>
          </cell>
          <cell r="I105" t="str">
            <v/>
          </cell>
          <cell r="J105" t="str">
            <v/>
          </cell>
        </row>
        <row r="106">
          <cell r="B106" t="str">
            <v>PA5304009</v>
          </cell>
          <cell r="C106" t="str">
            <v/>
          </cell>
          <cell r="D106" t="str">
            <v/>
          </cell>
          <cell r="E106" t="e">
            <v>#VALUE!</v>
          </cell>
          <cell r="F106" t="str">
            <v/>
          </cell>
          <cell r="G106" t="str">
            <v/>
          </cell>
          <cell r="H106" t="str">
            <v/>
          </cell>
          <cell r="I106" t="str">
            <v/>
          </cell>
          <cell r="J106" t="str">
            <v/>
          </cell>
        </row>
        <row r="107">
          <cell r="B107" t="str">
            <v>PA53040010</v>
          </cell>
          <cell r="C107" t="str">
            <v/>
          </cell>
          <cell r="D107" t="str">
            <v/>
          </cell>
          <cell r="E107" t="e">
            <v>#VALUE!</v>
          </cell>
          <cell r="F107" t="str">
            <v/>
          </cell>
          <cell r="G107" t="str">
            <v/>
          </cell>
          <cell r="H107" t="str">
            <v/>
          </cell>
          <cell r="I107" t="str">
            <v/>
          </cell>
          <cell r="J107" t="str">
            <v/>
          </cell>
        </row>
        <row r="108">
          <cell r="B108" t="str">
            <v>PA53040011</v>
          </cell>
          <cell r="C108" t="str">
            <v/>
          </cell>
          <cell r="D108" t="str">
            <v/>
          </cell>
          <cell r="E108" t="e">
            <v>#VALUE!</v>
          </cell>
          <cell r="F108" t="str">
            <v/>
          </cell>
          <cell r="G108" t="str">
            <v/>
          </cell>
          <cell r="H108" t="str">
            <v/>
          </cell>
          <cell r="I108" t="str">
            <v/>
          </cell>
          <cell r="J108" t="str">
            <v/>
          </cell>
        </row>
        <row r="109">
          <cell r="B109" t="str">
            <v>PA53040012</v>
          </cell>
          <cell r="C109" t="str">
            <v/>
          </cell>
          <cell r="D109" t="str">
            <v/>
          </cell>
          <cell r="E109" t="e">
            <v>#VALUE!</v>
          </cell>
          <cell r="F109" t="str">
            <v/>
          </cell>
          <cell r="G109" t="str">
            <v/>
          </cell>
          <cell r="H109" t="str">
            <v/>
          </cell>
          <cell r="I109" t="str">
            <v/>
          </cell>
          <cell r="J109" t="str">
            <v/>
          </cell>
        </row>
        <row r="110">
          <cell r="B110" t="str">
            <v>PA5303001</v>
          </cell>
          <cell r="C110">
            <v>91930</v>
          </cell>
          <cell r="D110">
            <v>10760</v>
          </cell>
          <cell r="E110">
            <v>102690</v>
          </cell>
          <cell r="F110">
            <v>10.5</v>
          </cell>
          <cell r="G110">
            <v>102690</v>
          </cell>
          <cell r="H110">
            <v>91930</v>
          </cell>
          <cell r="I110">
            <v>10760</v>
          </cell>
          <cell r="J110">
            <v>10.5</v>
          </cell>
        </row>
        <row r="111">
          <cell r="B111" t="str">
            <v>PA5303002</v>
          </cell>
          <cell r="C111">
            <v>91930</v>
          </cell>
          <cell r="D111">
            <v>10990</v>
          </cell>
          <cell r="E111">
            <v>102920</v>
          </cell>
          <cell r="F111">
            <v>10.7</v>
          </cell>
          <cell r="G111">
            <v>102810</v>
          </cell>
          <cell r="H111">
            <v>91930</v>
          </cell>
          <cell r="I111">
            <v>10870</v>
          </cell>
          <cell r="J111">
            <v>10.577306551237781</v>
          </cell>
        </row>
        <row r="112">
          <cell r="B112" t="str">
            <v>PA5303003</v>
          </cell>
          <cell r="C112">
            <v>92060</v>
          </cell>
          <cell r="D112">
            <v>10940</v>
          </cell>
          <cell r="E112">
            <v>103000</v>
          </cell>
          <cell r="F112">
            <v>10.6</v>
          </cell>
          <cell r="G112">
            <v>102870</v>
          </cell>
          <cell r="H112">
            <v>91970</v>
          </cell>
          <cell r="I112">
            <v>10900</v>
          </cell>
          <cell r="J112">
            <v>10.592180943277004</v>
          </cell>
        </row>
        <row r="113">
          <cell r="B113" t="str">
            <v>PA5303004</v>
          </cell>
          <cell r="C113">
            <v>93120</v>
          </cell>
          <cell r="D113">
            <v>9530</v>
          </cell>
          <cell r="E113">
            <v>102650</v>
          </cell>
          <cell r="F113">
            <v>9.3000000000000007</v>
          </cell>
          <cell r="G113">
            <v>102810</v>
          </cell>
          <cell r="H113">
            <v>92260</v>
          </cell>
          <cell r="I113">
            <v>10550</v>
          </cell>
          <cell r="J113">
            <v>10.264677633098685</v>
          </cell>
        </row>
        <row r="114">
          <cell r="B114" t="str">
            <v>PA5303005</v>
          </cell>
          <cell r="C114">
            <v>92950</v>
          </cell>
          <cell r="D114">
            <v>9430</v>
          </cell>
          <cell r="E114">
            <v>102380</v>
          </cell>
          <cell r="F114">
            <v>9.1999999999999993</v>
          </cell>
          <cell r="G114">
            <v>102730</v>
          </cell>
          <cell r="H114">
            <v>92400</v>
          </cell>
          <cell r="I114">
            <v>10330</v>
          </cell>
          <cell r="J114">
            <v>10.054416073670993</v>
          </cell>
        </row>
        <row r="115">
          <cell r="B115" t="str">
            <v>PA5303006</v>
          </cell>
          <cell r="C115">
            <v>91610</v>
          </cell>
          <cell r="D115">
            <v>9410</v>
          </cell>
          <cell r="E115">
            <v>101020</v>
          </cell>
          <cell r="F115">
            <v>9.3000000000000007</v>
          </cell>
          <cell r="G115">
            <v>102440</v>
          </cell>
          <cell r="H115">
            <v>92270</v>
          </cell>
          <cell r="I115">
            <v>10180</v>
          </cell>
          <cell r="J115">
            <v>9.9326607543492287</v>
          </cell>
        </row>
        <row r="116">
          <cell r="B116" t="str">
            <v>PA5303007</v>
          </cell>
          <cell r="C116">
            <v>92440</v>
          </cell>
          <cell r="D116">
            <v>9110</v>
          </cell>
          <cell r="E116">
            <v>101550</v>
          </cell>
          <cell r="F116">
            <v>9</v>
          </cell>
          <cell r="G116">
            <v>102310</v>
          </cell>
          <cell r="H116">
            <v>92290</v>
          </cell>
          <cell r="I116">
            <v>10020</v>
          </cell>
          <cell r="J116">
            <v>9.7961326499125256</v>
          </cell>
        </row>
        <row r="117">
          <cell r="B117" t="str">
            <v>PA5303008</v>
          </cell>
          <cell r="C117" t="str">
            <v/>
          </cell>
          <cell r="D117" t="str">
            <v/>
          </cell>
          <cell r="E117" t="e">
            <v>#VALUE!</v>
          </cell>
          <cell r="F117" t="str">
            <v/>
          </cell>
          <cell r="G117" t="str">
            <v/>
          </cell>
          <cell r="H117" t="str">
            <v/>
          </cell>
          <cell r="I117" t="str">
            <v/>
          </cell>
          <cell r="J117" t="str">
            <v/>
          </cell>
        </row>
        <row r="118">
          <cell r="B118" t="str">
            <v>PA5303009</v>
          </cell>
          <cell r="C118" t="str">
            <v/>
          </cell>
          <cell r="D118" t="str">
            <v/>
          </cell>
          <cell r="E118" t="e">
            <v>#VALUE!</v>
          </cell>
          <cell r="F118" t="str">
            <v/>
          </cell>
          <cell r="G118" t="str">
            <v/>
          </cell>
          <cell r="H118" t="str">
            <v/>
          </cell>
          <cell r="I118" t="str">
            <v/>
          </cell>
          <cell r="J118" t="str">
            <v/>
          </cell>
        </row>
        <row r="119">
          <cell r="B119" t="str">
            <v>PA53030010</v>
          </cell>
          <cell r="C119" t="str">
            <v/>
          </cell>
          <cell r="D119" t="str">
            <v/>
          </cell>
          <cell r="E119" t="e">
            <v>#VALUE!</v>
          </cell>
          <cell r="F119" t="str">
            <v/>
          </cell>
          <cell r="G119" t="str">
            <v/>
          </cell>
          <cell r="H119" t="str">
            <v/>
          </cell>
          <cell r="I119" t="str">
            <v/>
          </cell>
          <cell r="J119" t="str">
            <v/>
          </cell>
        </row>
        <row r="120">
          <cell r="B120" t="str">
            <v>PA53030011</v>
          </cell>
          <cell r="C120" t="str">
            <v/>
          </cell>
          <cell r="D120" t="str">
            <v/>
          </cell>
          <cell r="E120" t="e">
            <v>#VALUE!</v>
          </cell>
          <cell r="F120" t="str">
            <v/>
          </cell>
          <cell r="G120" t="str">
            <v/>
          </cell>
          <cell r="H120" t="str">
            <v/>
          </cell>
          <cell r="I120" t="str">
            <v/>
          </cell>
          <cell r="J120" t="str">
            <v/>
          </cell>
        </row>
        <row r="121">
          <cell r="B121" t="str">
            <v>PA53030012</v>
          </cell>
          <cell r="C121" t="str">
            <v/>
          </cell>
          <cell r="D121" t="str">
            <v/>
          </cell>
          <cell r="E121" t="e">
            <v>#VALUE!</v>
          </cell>
          <cell r="F121" t="str">
            <v/>
          </cell>
          <cell r="G121" t="str">
            <v/>
          </cell>
          <cell r="H121" t="str">
            <v/>
          </cell>
          <cell r="I121" t="str">
            <v/>
          </cell>
          <cell r="J121" t="str">
            <v/>
          </cell>
        </row>
        <row r="122">
          <cell r="B122" t="str">
            <v>PA5302501</v>
          </cell>
          <cell r="C122">
            <v>45180</v>
          </cell>
          <cell r="D122">
            <v>5550</v>
          </cell>
          <cell r="E122">
            <v>50730</v>
          </cell>
          <cell r="F122">
            <v>10.9</v>
          </cell>
          <cell r="G122">
            <v>50730</v>
          </cell>
          <cell r="H122">
            <v>45180</v>
          </cell>
          <cell r="I122">
            <v>5550</v>
          </cell>
          <cell r="J122">
            <v>10.9</v>
          </cell>
        </row>
        <row r="123">
          <cell r="B123" t="str">
            <v>PA5302502</v>
          </cell>
          <cell r="C123">
            <v>45430</v>
          </cell>
          <cell r="D123">
            <v>5690</v>
          </cell>
          <cell r="E123">
            <v>51120</v>
          </cell>
          <cell r="F123">
            <v>11.1</v>
          </cell>
          <cell r="G123">
            <v>50930</v>
          </cell>
          <cell r="H123">
            <v>45310</v>
          </cell>
          <cell r="I123">
            <v>5620</v>
          </cell>
          <cell r="J123">
            <v>11.032891507118311</v>
          </cell>
        </row>
        <row r="124">
          <cell r="B124" t="str">
            <v>PA5302503</v>
          </cell>
          <cell r="C124">
            <v>45270</v>
          </cell>
          <cell r="D124">
            <v>5560</v>
          </cell>
          <cell r="E124">
            <v>50830</v>
          </cell>
          <cell r="F124">
            <v>10.9</v>
          </cell>
          <cell r="G124">
            <v>50890</v>
          </cell>
          <cell r="H124">
            <v>45290</v>
          </cell>
          <cell r="I124">
            <v>5600</v>
          </cell>
          <cell r="J124">
            <v>11.002240008383657</v>
          </cell>
        </row>
        <row r="125">
          <cell r="B125" t="str">
            <v>PA5302504</v>
          </cell>
          <cell r="C125">
            <v>44820</v>
          </cell>
          <cell r="D125">
            <v>5090</v>
          </cell>
          <cell r="E125">
            <v>49910</v>
          </cell>
          <cell r="F125">
            <v>10.199999999999999</v>
          </cell>
          <cell r="G125">
            <v>50650</v>
          </cell>
          <cell r="H125">
            <v>45170</v>
          </cell>
          <cell r="I125">
            <v>5470</v>
          </cell>
          <cell r="J125">
            <v>10.805781248457444</v>
          </cell>
        </row>
        <row r="126">
          <cell r="B126" t="str">
            <v>PA5302505</v>
          </cell>
          <cell r="C126">
            <v>45080</v>
          </cell>
          <cell r="D126">
            <v>5140</v>
          </cell>
          <cell r="E126">
            <v>50220</v>
          </cell>
          <cell r="F126">
            <v>10.199999999999999</v>
          </cell>
          <cell r="G126">
            <v>50560</v>
          </cell>
          <cell r="H126">
            <v>45150</v>
          </cell>
          <cell r="I126">
            <v>5410</v>
          </cell>
          <cell r="J126">
            <v>10.692911080960272</v>
          </cell>
        </row>
        <row r="127">
          <cell r="B127" t="str">
            <v>PA5302506</v>
          </cell>
          <cell r="C127">
            <v>45040</v>
          </cell>
          <cell r="D127">
            <v>5590</v>
          </cell>
          <cell r="E127">
            <v>50630</v>
          </cell>
          <cell r="F127">
            <v>11</v>
          </cell>
          <cell r="G127">
            <v>50570</v>
          </cell>
          <cell r="H127">
            <v>45140</v>
          </cell>
          <cell r="I127">
            <v>5440</v>
          </cell>
          <cell r="J127">
            <v>10.749725637789151</v>
          </cell>
        </row>
        <row r="128">
          <cell r="B128" t="str">
            <v>PA5302507</v>
          </cell>
          <cell r="C128">
            <v>45010</v>
          </cell>
          <cell r="D128">
            <v>5550</v>
          </cell>
          <cell r="E128">
            <v>50560</v>
          </cell>
          <cell r="F128">
            <v>11</v>
          </cell>
          <cell r="G128">
            <v>50570</v>
          </cell>
          <cell r="H128">
            <v>45120</v>
          </cell>
          <cell r="I128">
            <v>5450</v>
          </cell>
          <cell r="J128">
            <v>10.781530290831531</v>
          </cell>
        </row>
        <row r="129">
          <cell r="B129" t="str">
            <v>PA5302508</v>
          </cell>
          <cell r="C129" t="str">
            <v/>
          </cell>
          <cell r="D129" t="str">
            <v/>
          </cell>
          <cell r="E129" t="e">
            <v>#VALUE!</v>
          </cell>
          <cell r="F129" t="str">
            <v/>
          </cell>
          <cell r="G129" t="str">
            <v/>
          </cell>
          <cell r="H129" t="str">
            <v/>
          </cell>
          <cell r="I129" t="str">
            <v/>
          </cell>
          <cell r="J129" t="str">
            <v/>
          </cell>
        </row>
        <row r="130">
          <cell r="B130" t="str">
            <v>PA5302509</v>
          </cell>
          <cell r="C130" t="str">
            <v/>
          </cell>
          <cell r="D130" t="str">
            <v/>
          </cell>
          <cell r="E130" t="e">
            <v>#VALUE!</v>
          </cell>
          <cell r="F130" t="str">
            <v/>
          </cell>
          <cell r="G130" t="str">
            <v/>
          </cell>
          <cell r="H130" t="str">
            <v/>
          </cell>
          <cell r="I130" t="str">
            <v/>
          </cell>
          <cell r="J130" t="str">
            <v/>
          </cell>
        </row>
        <row r="131">
          <cell r="B131" t="str">
            <v>PA53025010</v>
          </cell>
          <cell r="C131" t="str">
            <v/>
          </cell>
          <cell r="D131" t="str">
            <v/>
          </cell>
          <cell r="E131" t="e">
            <v>#VALUE!</v>
          </cell>
          <cell r="F131" t="str">
            <v/>
          </cell>
          <cell r="G131" t="str">
            <v/>
          </cell>
          <cell r="H131" t="str">
            <v/>
          </cell>
          <cell r="I131" t="str">
            <v/>
          </cell>
          <cell r="J131" t="str">
            <v/>
          </cell>
        </row>
        <row r="132">
          <cell r="B132" t="str">
            <v>PA53025011</v>
          </cell>
          <cell r="C132" t="str">
            <v/>
          </cell>
          <cell r="D132" t="str">
            <v/>
          </cell>
          <cell r="E132" t="e">
            <v>#VALUE!</v>
          </cell>
          <cell r="F132" t="str">
            <v/>
          </cell>
          <cell r="G132" t="str">
            <v/>
          </cell>
          <cell r="H132" t="str">
            <v/>
          </cell>
          <cell r="I132" t="str">
            <v/>
          </cell>
          <cell r="J132" t="str">
            <v/>
          </cell>
        </row>
        <row r="133">
          <cell r="B133" t="str">
            <v>PA53025012</v>
          </cell>
          <cell r="C133" t="str">
            <v/>
          </cell>
          <cell r="D133" t="str">
            <v/>
          </cell>
          <cell r="E133" t="e">
            <v>#VALUE!</v>
          </cell>
          <cell r="F133" t="str">
            <v/>
          </cell>
          <cell r="G133" t="str">
            <v/>
          </cell>
          <cell r="H133" t="str">
            <v/>
          </cell>
          <cell r="I133" t="str">
            <v/>
          </cell>
          <cell r="J133" t="str">
            <v/>
          </cell>
        </row>
        <row r="134">
          <cell r="B134" t="str">
            <v>PA5302001</v>
          </cell>
          <cell r="C134">
            <v>65320</v>
          </cell>
          <cell r="D134">
            <v>4920</v>
          </cell>
          <cell r="E134">
            <v>70240</v>
          </cell>
          <cell r="F134">
            <v>7</v>
          </cell>
          <cell r="G134">
            <v>70240</v>
          </cell>
          <cell r="H134">
            <v>65320</v>
          </cell>
          <cell r="I134">
            <v>4920</v>
          </cell>
          <cell r="J134">
            <v>7</v>
          </cell>
        </row>
        <row r="135">
          <cell r="B135" t="str">
            <v>PA5302002</v>
          </cell>
          <cell r="C135">
            <v>65690</v>
          </cell>
          <cell r="D135">
            <v>5190</v>
          </cell>
          <cell r="E135">
            <v>70880</v>
          </cell>
          <cell r="F135">
            <v>7.3</v>
          </cell>
          <cell r="G135">
            <v>70560</v>
          </cell>
          <cell r="H135">
            <v>65510</v>
          </cell>
          <cell r="I135">
            <v>5060</v>
          </cell>
          <cell r="J135">
            <v>7.1641156462585034</v>
          </cell>
        </row>
        <row r="136">
          <cell r="B136" t="str">
            <v>PA5302003</v>
          </cell>
          <cell r="C136">
            <v>65450</v>
          </cell>
          <cell r="D136">
            <v>5060</v>
          </cell>
          <cell r="E136">
            <v>70510</v>
          </cell>
          <cell r="F136">
            <v>7.2</v>
          </cell>
          <cell r="G136">
            <v>70540</v>
          </cell>
          <cell r="H136">
            <v>65490</v>
          </cell>
          <cell r="I136">
            <v>5060</v>
          </cell>
          <cell r="J136">
            <v>7.1669564888670472</v>
          </cell>
        </row>
        <row r="137">
          <cell r="B137" t="str">
            <v>PA5302004</v>
          </cell>
          <cell r="C137">
            <v>64790</v>
          </cell>
          <cell r="D137">
            <v>4530</v>
          </cell>
          <cell r="E137">
            <v>69320</v>
          </cell>
          <cell r="F137">
            <v>6.5</v>
          </cell>
          <cell r="G137">
            <v>70240</v>
          </cell>
          <cell r="H137">
            <v>65310</v>
          </cell>
          <cell r="I137">
            <v>4930</v>
          </cell>
          <cell r="J137">
            <v>7.0118988720453039</v>
          </cell>
        </row>
        <row r="138">
          <cell r="B138" t="str">
            <v>PA5302005</v>
          </cell>
          <cell r="C138">
            <v>65170</v>
          </cell>
          <cell r="D138">
            <v>4580</v>
          </cell>
          <cell r="E138">
            <v>69750</v>
          </cell>
          <cell r="F138">
            <v>6.6</v>
          </cell>
          <cell r="G138">
            <v>70140</v>
          </cell>
          <cell r="H138">
            <v>65280</v>
          </cell>
          <cell r="I138">
            <v>4860</v>
          </cell>
          <cell r="J138">
            <v>6.924033235815755</v>
          </cell>
        </row>
        <row r="139">
          <cell r="B139" t="str">
            <v>PA5302006</v>
          </cell>
          <cell r="C139">
            <v>65120</v>
          </cell>
          <cell r="D139">
            <v>5240</v>
          </cell>
          <cell r="E139">
            <v>70360</v>
          </cell>
          <cell r="F139">
            <v>7.4</v>
          </cell>
          <cell r="G139">
            <v>70180</v>
          </cell>
          <cell r="H139">
            <v>65260</v>
          </cell>
          <cell r="I139">
            <v>4920</v>
          </cell>
          <cell r="J139">
            <v>7.0116607689932806</v>
          </cell>
        </row>
        <row r="140">
          <cell r="B140" t="str">
            <v>PA5302007</v>
          </cell>
          <cell r="C140">
            <v>65070</v>
          </cell>
          <cell r="D140">
            <v>5120</v>
          </cell>
          <cell r="E140">
            <v>70190</v>
          </cell>
          <cell r="F140">
            <v>7.3</v>
          </cell>
          <cell r="G140">
            <v>70180</v>
          </cell>
          <cell r="H140">
            <v>65230</v>
          </cell>
          <cell r="I140">
            <v>4950</v>
          </cell>
          <cell r="J140">
            <v>7.051473866127643</v>
          </cell>
        </row>
        <row r="141">
          <cell r="B141" t="str">
            <v>PA5302008</v>
          </cell>
          <cell r="C141" t="str">
            <v/>
          </cell>
          <cell r="D141" t="str">
            <v/>
          </cell>
          <cell r="E141" t="e">
            <v>#VALUE!</v>
          </cell>
          <cell r="F141" t="str">
            <v/>
          </cell>
          <cell r="G141" t="str">
            <v/>
          </cell>
          <cell r="H141" t="str">
            <v/>
          </cell>
          <cell r="I141" t="str">
            <v/>
          </cell>
          <cell r="J141" t="str">
            <v/>
          </cell>
        </row>
        <row r="142">
          <cell r="B142" t="str">
            <v>PA5302009</v>
          </cell>
          <cell r="C142" t="str">
            <v/>
          </cell>
          <cell r="D142" t="str">
            <v/>
          </cell>
          <cell r="E142" t="e">
            <v>#VALUE!</v>
          </cell>
          <cell r="F142" t="str">
            <v/>
          </cell>
          <cell r="G142" t="str">
            <v/>
          </cell>
          <cell r="H142" t="str">
            <v/>
          </cell>
          <cell r="I142" t="str">
            <v/>
          </cell>
          <cell r="J142" t="str">
            <v/>
          </cell>
        </row>
        <row r="143">
          <cell r="B143" t="str">
            <v>PA53020010</v>
          </cell>
          <cell r="C143" t="str">
            <v/>
          </cell>
          <cell r="D143" t="str">
            <v/>
          </cell>
          <cell r="E143" t="e">
            <v>#VALUE!</v>
          </cell>
          <cell r="F143" t="str">
            <v/>
          </cell>
          <cell r="G143" t="str">
            <v/>
          </cell>
          <cell r="H143" t="str">
            <v/>
          </cell>
          <cell r="I143" t="str">
            <v/>
          </cell>
          <cell r="J143" t="str">
            <v/>
          </cell>
        </row>
        <row r="144">
          <cell r="B144" t="str">
            <v>PA53020011</v>
          </cell>
          <cell r="C144" t="str">
            <v/>
          </cell>
          <cell r="D144" t="str">
            <v/>
          </cell>
          <cell r="E144" t="e">
            <v>#VALUE!</v>
          </cell>
          <cell r="F144" t="str">
            <v/>
          </cell>
          <cell r="G144" t="str">
            <v/>
          </cell>
          <cell r="H144" t="str">
            <v/>
          </cell>
          <cell r="I144" t="str">
            <v/>
          </cell>
          <cell r="J144" t="str">
            <v/>
          </cell>
        </row>
        <row r="145">
          <cell r="B145" t="str">
            <v>PA53020012</v>
          </cell>
          <cell r="C145" t="str">
            <v/>
          </cell>
          <cell r="D145" t="str">
            <v/>
          </cell>
          <cell r="E145" t="e">
            <v>#VALUE!</v>
          </cell>
          <cell r="F145" t="str">
            <v/>
          </cell>
          <cell r="G145" t="str">
            <v/>
          </cell>
          <cell r="H145" t="str">
            <v/>
          </cell>
          <cell r="I145" t="str">
            <v/>
          </cell>
          <cell r="J145" t="str">
            <v/>
          </cell>
        </row>
        <row r="146">
          <cell r="B146" t="str">
            <v>PA5300501</v>
          </cell>
          <cell r="C146">
            <v>346450</v>
          </cell>
          <cell r="D146">
            <v>29540</v>
          </cell>
          <cell r="E146">
            <v>375990</v>
          </cell>
          <cell r="F146">
            <v>7.9</v>
          </cell>
          <cell r="G146">
            <v>375990</v>
          </cell>
          <cell r="H146">
            <v>346450</v>
          </cell>
          <cell r="I146">
            <v>29540</v>
          </cell>
          <cell r="J146">
            <v>7.9</v>
          </cell>
        </row>
        <row r="147">
          <cell r="B147" t="str">
            <v>PA5300502</v>
          </cell>
          <cell r="C147">
            <v>348390</v>
          </cell>
          <cell r="D147">
            <v>30280</v>
          </cell>
          <cell r="E147">
            <v>378670</v>
          </cell>
          <cell r="F147">
            <v>8</v>
          </cell>
          <cell r="G147">
            <v>377330</v>
          </cell>
          <cell r="H147">
            <v>347420</v>
          </cell>
          <cell r="I147">
            <v>29910</v>
          </cell>
          <cell r="J147">
            <v>7.9270344977459999</v>
          </cell>
        </row>
        <row r="148">
          <cell r="B148" t="str">
            <v>PA5300503</v>
          </cell>
          <cell r="C148">
            <v>347110</v>
          </cell>
          <cell r="D148">
            <v>29280</v>
          </cell>
          <cell r="E148">
            <v>376390</v>
          </cell>
          <cell r="F148">
            <v>7.8</v>
          </cell>
          <cell r="G148">
            <v>377020</v>
          </cell>
          <cell r="H148">
            <v>347320</v>
          </cell>
          <cell r="I148">
            <v>29700</v>
          </cell>
          <cell r="J148">
            <v>7.8780709269520122</v>
          </cell>
        </row>
        <row r="149">
          <cell r="B149" t="str">
            <v>PA5300504</v>
          </cell>
          <cell r="C149">
            <v>343650</v>
          </cell>
          <cell r="D149">
            <v>27300</v>
          </cell>
          <cell r="E149">
            <v>370950</v>
          </cell>
          <cell r="F149">
            <v>7.4</v>
          </cell>
          <cell r="G149">
            <v>375500</v>
          </cell>
          <cell r="H149">
            <v>346400</v>
          </cell>
          <cell r="I149">
            <v>29100</v>
          </cell>
          <cell r="J149">
            <v>7.7501997336884152</v>
          </cell>
        </row>
        <row r="150">
          <cell r="B150" t="str">
            <v>PA5300505</v>
          </cell>
          <cell r="C150">
            <v>345650</v>
          </cell>
          <cell r="D150">
            <v>27330</v>
          </cell>
          <cell r="E150">
            <v>372980</v>
          </cell>
          <cell r="F150">
            <v>7.3</v>
          </cell>
          <cell r="G150">
            <v>375000</v>
          </cell>
          <cell r="H150">
            <v>346250</v>
          </cell>
          <cell r="I150">
            <v>28750</v>
          </cell>
          <cell r="J150">
            <v>7.6660469273838361</v>
          </cell>
        </row>
        <row r="151">
          <cell r="B151" t="str">
            <v>PA5300506</v>
          </cell>
          <cell r="C151">
            <v>345390</v>
          </cell>
          <cell r="D151">
            <v>30830</v>
          </cell>
          <cell r="E151">
            <v>376220</v>
          </cell>
          <cell r="F151">
            <v>8.1999999999999993</v>
          </cell>
          <cell r="G151">
            <v>375200</v>
          </cell>
          <cell r="H151">
            <v>346110</v>
          </cell>
          <cell r="I151">
            <v>29090</v>
          </cell>
          <cell r="J151">
            <v>7.7541824397498571</v>
          </cell>
        </row>
        <row r="152">
          <cell r="B152" t="str">
            <v>PA5300507</v>
          </cell>
          <cell r="C152">
            <v>345120</v>
          </cell>
          <cell r="D152">
            <v>30010</v>
          </cell>
          <cell r="E152">
            <v>375130</v>
          </cell>
          <cell r="F152">
            <v>8</v>
          </cell>
          <cell r="G152">
            <v>375190</v>
          </cell>
          <cell r="H152">
            <v>345970</v>
          </cell>
          <cell r="I152">
            <v>29220</v>
          </cell>
          <cell r="J152">
            <v>7.7891350080435586</v>
          </cell>
        </row>
        <row r="153">
          <cell r="B153" t="str">
            <v>PA5300508</v>
          </cell>
          <cell r="C153" t="str">
            <v/>
          </cell>
          <cell r="D153" t="str">
            <v/>
          </cell>
          <cell r="E153" t="e">
            <v>#VALUE!</v>
          </cell>
          <cell r="F153" t="str">
            <v/>
          </cell>
          <cell r="G153" t="str">
            <v/>
          </cell>
          <cell r="H153" t="str">
            <v/>
          </cell>
          <cell r="I153" t="str">
            <v/>
          </cell>
          <cell r="J153" t="str">
            <v/>
          </cell>
        </row>
        <row r="154">
          <cell r="B154" t="str">
            <v>PA5300509</v>
          </cell>
          <cell r="C154" t="str">
            <v/>
          </cell>
          <cell r="D154" t="str">
            <v/>
          </cell>
          <cell r="E154" t="e">
            <v>#VALUE!</v>
          </cell>
          <cell r="F154" t="str">
            <v/>
          </cell>
          <cell r="G154" t="str">
            <v/>
          </cell>
          <cell r="H154" t="str">
            <v/>
          </cell>
          <cell r="I154" t="str">
            <v/>
          </cell>
          <cell r="J154" t="str">
            <v/>
          </cell>
        </row>
        <row r="155">
          <cell r="B155" t="str">
            <v>PA53005010</v>
          </cell>
          <cell r="C155" t="str">
            <v/>
          </cell>
          <cell r="D155" t="str">
            <v/>
          </cell>
          <cell r="E155" t="e">
            <v>#VALUE!</v>
          </cell>
          <cell r="F155" t="str">
            <v/>
          </cell>
          <cell r="G155" t="str">
            <v/>
          </cell>
          <cell r="H155" t="str">
            <v/>
          </cell>
          <cell r="I155" t="str">
            <v/>
          </cell>
          <cell r="J155" t="str">
            <v/>
          </cell>
        </row>
        <row r="156">
          <cell r="B156" t="str">
            <v>PA53005011</v>
          </cell>
          <cell r="C156" t="str">
            <v/>
          </cell>
          <cell r="D156" t="str">
            <v/>
          </cell>
          <cell r="E156" t="e">
            <v>#VALUE!</v>
          </cell>
          <cell r="F156" t="str">
            <v/>
          </cell>
          <cell r="G156" t="str">
            <v/>
          </cell>
          <cell r="H156" t="str">
            <v/>
          </cell>
          <cell r="I156" t="str">
            <v/>
          </cell>
          <cell r="J156" t="str">
            <v/>
          </cell>
        </row>
        <row r="157">
          <cell r="B157" t="str">
            <v>PA53005012</v>
          </cell>
          <cell r="C157" t="str">
            <v/>
          </cell>
          <cell r="D157" t="str">
            <v/>
          </cell>
          <cell r="E157" t="e">
            <v>#VALUE!</v>
          </cell>
          <cell r="F157" t="str">
            <v/>
          </cell>
          <cell r="G157" t="str">
            <v/>
          </cell>
          <cell r="H157" t="str">
            <v/>
          </cell>
          <cell r="I157" t="str">
            <v/>
          </cell>
          <cell r="J157" t="str">
            <v/>
          </cell>
        </row>
        <row r="158">
          <cell r="B158" t="str">
            <v>MT5349421</v>
          </cell>
          <cell r="C158">
            <v>106630</v>
          </cell>
          <cell r="D158">
            <v>13940</v>
          </cell>
          <cell r="E158">
            <v>120570</v>
          </cell>
          <cell r="F158">
            <v>11.6</v>
          </cell>
          <cell r="G158">
            <v>120580</v>
          </cell>
          <cell r="H158">
            <v>106630</v>
          </cell>
          <cell r="I158">
            <v>13940</v>
          </cell>
          <cell r="J158">
            <v>11.6</v>
          </cell>
        </row>
        <row r="159">
          <cell r="B159" t="str">
            <v>MT5349422</v>
          </cell>
          <cell r="C159">
            <v>107820</v>
          </cell>
          <cell r="D159">
            <v>13490</v>
          </cell>
          <cell r="E159">
            <v>121310</v>
          </cell>
          <cell r="F159">
            <v>11.1</v>
          </cell>
          <cell r="G159">
            <v>120940</v>
          </cell>
          <cell r="H159">
            <v>107220</v>
          </cell>
          <cell r="I159">
            <v>13720</v>
          </cell>
          <cell r="J159">
            <v>11.34111401887705</v>
          </cell>
        </row>
        <row r="160">
          <cell r="B160" t="str">
            <v>MT5349423</v>
          </cell>
          <cell r="C160">
            <v>107810</v>
          </cell>
          <cell r="D160">
            <v>12980</v>
          </cell>
          <cell r="E160">
            <v>120790</v>
          </cell>
          <cell r="F160">
            <v>10.7</v>
          </cell>
          <cell r="G160">
            <v>120890</v>
          </cell>
          <cell r="H160">
            <v>107420</v>
          </cell>
          <cell r="I160">
            <v>13470</v>
          </cell>
          <cell r="J160">
            <v>11.141840080073015</v>
          </cell>
        </row>
        <row r="161">
          <cell r="B161" t="str">
            <v>MT5349424</v>
          </cell>
          <cell r="C161">
            <v>107510</v>
          </cell>
          <cell r="D161">
            <v>12010</v>
          </cell>
          <cell r="E161">
            <v>119520</v>
          </cell>
          <cell r="F161">
            <v>10.1</v>
          </cell>
          <cell r="G161">
            <v>120550</v>
          </cell>
          <cell r="H161">
            <v>107440</v>
          </cell>
          <cell r="I161">
            <v>13110</v>
          </cell>
          <cell r="J161">
            <v>10.871278422523995</v>
          </cell>
        </row>
        <row r="162">
          <cell r="B162" t="str">
            <v>MT5349425</v>
          </cell>
          <cell r="C162">
            <v>108950</v>
          </cell>
          <cell r="D162">
            <v>11990</v>
          </cell>
          <cell r="E162">
            <v>120940</v>
          </cell>
          <cell r="F162">
            <v>9.9</v>
          </cell>
          <cell r="G162">
            <v>120630</v>
          </cell>
          <cell r="H162">
            <v>107740</v>
          </cell>
          <cell r="I162">
            <v>12880</v>
          </cell>
          <cell r="J162">
            <v>10.679378238341968</v>
          </cell>
        </row>
        <row r="163">
          <cell r="B163" t="str">
            <v>MT5349426</v>
          </cell>
          <cell r="C163">
            <v>115610</v>
          </cell>
          <cell r="D163">
            <v>12420</v>
          </cell>
          <cell r="E163">
            <v>128030</v>
          </cell>
          <cell r="F163">
            <v>9.6999999999999993</v>
          </cell>
          <cell r="G163">
            <v>121860</v>
          </cell>
          <cell r="H163">
            <v>109050</v>
          </cell>
          <cell r="I163">
            <v>12800</v>
          </cell>
          <cell r="J163">
            <v>10.507376705012494</v>
          </cell>
        </row>
        <row r="164">
          <cell r="B164" t="str">
            <v>MT5349427</v>
          </cell>
          <cell r="C164">
            <v>120460</v>
          </cell>
          <cell r="D164">
            <v>11540</v>
          </cell>
          <cell r="E164">
            <v>132000</v>
          </cell>
          <cell r="F164">
            <v>8.6999999999999993</v>
          </cell>
          <cell r="G164">
            <v>123310</v>
          </cell>
          <cell r="H164">
            <v>110680</v>
          </cell>
          <cell r="I164">
            <v>12620</v>
          </cell>
          <cell r="J164">
            <v>10.237062473642991</v>
          </cell>
        </row>
        <row r="165">
          <cell r="B165" t="str">
            <v>MT5349428</v>
          </cell>
          <cell r="C165" t="str">
            <v/>
          </cell>
          <cell r="D165" t="str">
            <v/>
          </cell>
          <cell r="E165" t="e">
            <v>#VALUE!</v>
          </cell>
          <cell r="F165" t="str">
            <v/>
          </cell>
          <cell r="G165" t="str">
            <v/>
          </cell>
          <cell r="H165" t="str">
            <v/>
          </cell>
          <cell r="I165" t="str">
            <v/>
          </cell>
          <cell r="J165" t="str">
            <v/>
          </cell>
        </row>
        <row r="166">
          <cell r="B166" t="str">
            <v>MT5349429</v>
          </cell>
          <cell r="C166" t="str">
            <v/>
          </cell>
          <cell r="D166" t="str">
            <v/>
          </cell>
          <cell r="E166" t="e">
            <v>#VALUE!</v>
          </cell>
          <cell r="F166" t="str">
            <v/>
          </cell>
          <cell r="G166" t="str">
            <v/>
          </cell>
          <cell r="H166" t="str">
            <v/>
          </cell>
          <cell r="I166" t="str">
            <v/>
          </cell>
          <cell r="J166" t="str">
            <v/>
          </cell>
        </row>
        <row r="167">
          <cell r="B167" t="str">
            <v>MT53494210</v>
          </cell>
          <cell r="C167" t="str">
            <v/>
          </cell>
          <cell r="D167" t="str">
            <v/>
          </cell>
          <cell r="E167" t="e">
            <v>#VALUE!</v>
          </cell>
          <cell r="F167" t="str">
            <v/>
          </cell>
          <cell r="G167" t="str">
            <v/>
          </cell>
          <cell r="H167" t="str">
            <v/>
          </cell>
          <cell r="I167" t="str">
            <v/>
          </cell>
          <cell r="J167" t="str">
            <v/>
          </cell>
        </row>
        <row r="168">
          <cell r="B168" t="str">
            <v>MT53494211</v>
          </cell>
          <cell r="C168" t="str">
            <v/>
          </cell>
          <cell r="D168" t="str">
            <v/>
          </cell>
          <cell r="E168" t="e">
            <v>#VALUE!</v>
          </cell>
          <cell r="F168" t="str">
            <v/>
          </cell>
          <cell r="G168" t="str">
            <v/>
          </cell>
          <cell r="H168" t="str">
            <v/>
          </cell>
          <cell r="I168" t="str">
            <v/>
          </cell>
          <cell r="J168" t="str">
            <v/>
          </cell>
        </row>
        <row r="169">
          <cell r="B169" t="str">
            <v>MT53494212</v>
          </cell>
          <cell r="C169" t="str">
            <v/>
          </cell>
          <cell r="D169" t="str">
            <v/>
          </cell>
          <cell r="E169" t="e">
            <v>#VALUE!</v>
          </cell>
          <cell r="F169" t="str">
            <v/>
          </cell>
          <cell r="G169" t="str">
            <v/>
          </cell>
          <cell r="H169" t="str">
            <v/>
          </cell>
          <cell r="I169" t="str">
            <v/>
          </cell>
          <cell r="J169" t="str">
            <v/>
          </cell>
        </row>
        <row r="170">
          <cell r="B170" t="str">
            <v>MT5348301</v>
          </cell>
          <cell r="C170">
            <v>54070</v>
          </cell>
          <cell r="D170">
            <v>5930</v>
          </cell>
          <cell r="E170">
            <v>60000</v>
          </cell>
          <cell r="F170">
            <v>9.9</v>
          </cell>
          <cell r="G170">
            <v>59990</v>
          </cell>
          <cell r="H170">
            <v>54070</v>
          </cell>
          <cell r="I170">
            <v>5930</v>
          </cell>
          <cell r="J170">
            <v>9.9</v>
          </cell>
        </row>
        <row r="171">
          <cell r="B171" t="str">
            <v>MT5348302</v>
          </cell>
          <cell r="C171">
            <v>54620</v>
          </cell>
          <cell r="D171">
            <v>5870</v>
          </cell>
          <cell r="E171">
            <v>60490</v>
          </cell>
          <cell r="F171">
            <v>9.6999999999999993</v>
          </cell>
          <cell r="G171">
            <v>60240</v>
          </cell>
          <cell r="H171">
            <v>54350</v>
          </cell>
          <cell r="I171">
            <v>5900</v>
          </cell>
          <cell r="J171">
            <v>9.7896003651906867</v>
          </cell>
        </row>
        <row r="172">
          <cell r="B172" t="str">
            <v>MT5348303</v>
          </cell>
          <cell r="C172">
            <v>55340</v>
          </cell>
          <cell r="D172">
            <v>5740</v>
          </cell>
          <cell r="E172">
            <v>61080</v>
          </cell>
          <cell r="F172">
            <v>9.4</v>
          </cell>
          <cell r="G172">
            <v>60520</v>
          </cell>
          <cell r="H172">
            <v>54680</v>
          </cell>
          <cell r="I172">
            <v>5850</v>
          </cell>
          <cell r="J172">
            <v>9.6597418047232981</v>
          </cell>
        </row>
        <row r="173">
          <cell r="B173" t="str">
            <v>MT5348304</v>
          </cell>
          <cell r="C173">
            <v>54260</v>
          </cell>
          <cell r="D173">
            <v>5110</v>
          </cell>
          <cell r="E173">
            <v>59370</v>
          </cell>
          <cell r="F173">
            <v>8.6</v>
          </cell>
          <cell r="G173">
            <v>60230</v>
          </cell>
          <cell r="H173">
            <v>54570</v>
          </cell>
          <cell r="I173">
            <v>5660</v>
          </cell>
          <cell r="J173">
            <v>9.4008757548716453</v>
          </cell>
        </row>
        <row r="174">
          <cell r="B174" t="str">
            <v>MT5348305</v>
          </cell>
          <cell r="C174">
            <v>55030</v>
          </cell>
          <cell r="D174">
            <v>5150</v>
          </cell>
          <cell r="E174">
            <v>60180</v>
          </cell>
          <cell r="F174">
            <v>8.6</v>
          </cell>
          <cell r="G174">
            <v>60220</v>
          </cell>
          <cell r="H174">
            <v>54660</v>
          </cell>
          <cell r="I174">
            <v>5560</v>
          </cell>
          <cell r="J174">
            <v>9.2325625417193855</v>
          </cell>
        </row>
        <row r="175">
          <cell r="B175" t="str">
            <v>MT5348306</v>
          </cell>
          <cell r="C175">
            <v>62910</v>
          </cell>
          <cell r="D175">
            <v>5040</v>
          </cell>
          <cell r="E175">
            <v>67950</v>
          </cell>
          <cell r="F175">
            <v>7.4</v>
          </cell>
          <cell r="G175">
            <v>61510</v>
          </cell>
          <cell r="H175">
            <v>56040</v>
          </cell>
          <cell r="I175">
            <v>5470</v>
          </cell>
          <cell r="J175">
            <v>8.8991007150385695</v>
          </cell>
        </row>
        <row r="176">
          <cell r="B176" t="str">
            <v>MT5348307</v>
          </cell>
          <cell r="C176">
            <v>69900</v>
          </cell>
          <cell r="D176">
            <v>4620</v>
          </cell>
          <cell r="E176">
            <v>74520</v>
          </cell>
          <cell r="F176">
            <v>6.2</v>
          </cell>
          <cell r="G176">
            <v>63370</v>
          </cell>
          <cell r="H176">
            <v>58020</v>
          </cell>
          <cell r="I176">
            <v>5350</v>
          </cell>
          <cell r="J176">
            <v>8.4446428289632394</v>
          </cell>
        </row>
        <row r="177">
          <cell r="B177" t="str">
            <v>MT5348308</v>
          </cell>
          <cell r="C177" t="str">
            <v/>
          </cell>
          <cell r="D177" t="str">
            <v/>
          </cell>
          <cell r="E177" t="e">
            <v>#VALUE!</v>
          </cell>
          <cell r="F177" t="str">
            <v/>
          </cell>
          <cell r="G177" t="str">
            <v/>
          </cell>
          <cell r="H177" t="str">
            <v/>
          </cell>
          <cell r="I177" t="str">
            <v/>
          </cell>
          <cell r="J177" t="str">
            <v/>
          </cell>
        </row>
        <row r="178">
          <cell r="B178" t="str">
            <v>MT5348309</v>
          </cell>
          <cell r="C178" t="str">
            <v/>
          </cell>
          <cell r="D178" t="str">
            <v/>
          </cell>
          <cell r="E178" t="e">
            <v>#VALUE!</v>
          </cell>
          <cell r="F178" t="str">
            <v/>
          </cell>
          <cell r="G178" t="str">
            <v/>
          </cell>
          <cell r="H178" t="str">
            <v/>
          </cell>
          <cell r="I178" t="str">
            <v/>
          </cell>
          <cell r="J178" t="str">
            <v/>
          </cell>
        </row>
        <row r="179">
          <cell r="B179" t="str">
            <v>MT53483010</v>
          </cell>
          <cell r="C179" t="str">
            <v/>
          </cell>
          <cell r="D179" t="str">
            <v/>
          </cell>
          <cell r="E179" t="e">
            <v>#VALUE!</v>
          </cell>
          <cell r="F179" t="str">
            <v/>
          </cell>
          <cell r="G179" t="str">
            <v/>
          </cell>
          <cell r="H179" t="str">
            <v/>
          </cell>
          <cell r="I179" t="str">
            <v/>
          </cell>
          <cell r="J179" t="str">
            <v/>
          </cell>
        </row>
        <row r="180">
          <cell r="B180" t="str">
            <v>MT53483011</v>
          </cell>
          <cell r="C180" t="str">
            <v/>
          </cell>
          <cell r="D180" t="str">
            <v/>
          </cell>
          <cell r="E180" t="e">
            <v>#VALUE!</v>
          </cell>
          <cell r="F180" t="str">
            <v/>
          </cell>
          <cell r="G180" t="str">
            <v/>
          </cell>
          <cell r="H180" t="str">
            <v/>
          </cell>
          <cell r="I180" t="str">
            <v/>
          </cell>
          <cell r="J180" t="str">
            <v/>
          </cell>
        </row>
        <row r="181">
          <cell r="B181" t="str">
            <v>MT53483012</v>
          </cell>
          <cell r="C181" t="str">
            <v/>
          </cell>
          <cell r="D181" t="str">
            <v/>
          </cell>
          <cell r="E181" t="e">
            <v>#VALUE!</v>
          </cell>
          <cell r="F181" t="str">
            <v/>
          </cell>
          <cell r="G181" t="str">
            <v/>
          </cell>
          <cell r="H181" t="str">
            <v/>
          </cell>
          <cell r="I181" t="str">
            <v/>
          </cell>
          <cell r="J181" t="str">
            <v/>
          </cell>
        </row>
        <row r="182">
          <cell r="B182" t="str">
            <v>MT5344061</v>
          </cell>
          <cell r="C182">
            <v>212870</v>
          </cell>
          <cell r="D182">
            <v>24450</v>
          </cell>
          <cell r="E182">
            <v>237320</v>
          </cell>
          <cell r="F182">
            <v>10.3</v>
          </cell>
          <cell r="G182">
            <v>237320</v>
          </cell>
          <cell r="H182">
            <v>212870</v>
          </cell>
          <cell r="I182">
            <v>24450</v>
          </cell>
          <cell r="J182">
            <v>10.3</v>
          </cell>
        </row>
        <row r="183">
          <cell r="B183" t="str">
            <v>MT5344062</v>
          </cell>
          <cell r="C183">
            <v>212890</v>
          </cell>
          <cell r="D183">
            <v>24700</v>
          </cell>
          <cell r="E183">
            <v>237590</v>
          </cell>
          <cell r="F183">
            <v>10.4</v>
          </cell>
          <cell r="G183">
            <v>237450</v>
          </cell>
          <cell r="H183">
            <v>212880</v>
          </cell>
          <cell r="I183">
            <v>24570</v>
          </cell>
          <cell r="J183">
            <v>10.348341885885027</v>
          </cell>
        </row>
        <row r="184">
          <cell r="B184" t="str">
            <v>MT5344063</v>
          </cell>
          <cell r="C184">
            <v>213170</v>
          </cell>
          <cell r="D184">
            <v>24520</v>
          </cell>
          <cell r="E184">
            <v>237690</v>
          </cell>
          <cell r="F184">
            <v>10.3</v>
          </cell>
          <cell r="G184">
            <v>237530</v>
          </cell>
          <cell r="H184">
            <v>212980</v>
          </cell>
          <cell r="I184">
            <v>24560</v>
          </cell>
          <cell r="J184">
            <v>10.337694850939382</v>
          </cell>
        </row>
        <row r="185">
          <cell r="B185" t="str">
            <v>MT5344064</v>
          </cell>
          <cell r="C185">
            <v>215640</v>
          </cell>
          <cell r="D185">
            <v>21060</v>
          </cell>
          <cell r="E185">
            <v>236700</v>
          </cell>
          <cell r="F185">
            <v>8.9</v>
          </cell>
          <cell r="G185">
            <v>237320</v>
          </cell>
          <cell r="H185">
            <v>213640</v>
          </cell>
          <cell r="I185">
            <v>23680</v>
          </cell>
          <cell r="J185">
            <v>9.9781416735577455</v>
          </cell>
        </row>
        <row r="186">
          <cell r="B186" t="str">
            <v>MT5344065</v>
          </cell>
          <cell r="C186">
            <v>215240</v>
          </cell>
          <cell r="D186">
            <v>20740</v>
          </cell>
          <cell r="E186">
            <v>235980</v>
          </cell>
          <cell r="F186">
            <v>8.8000000000000007</v>
          </cell>
          <cell r="G186">
            <v>237060</v>
          </cell>
          <cell r="H186">
            <v>213960</v>
          </cell>
          <cell r="I186">
            <v>23090</v>
          </cell>
          <cell r="J186">
            <v>9.7415718298023837</v>
          </cell>
        </row>
        <row r="187">
          <cell r="B187" t="str">
            <v>MT5344066</v>
          </cell>
          <cell r="C187">
            <v>212130</v>
          </cell>
          <cell r="D187">
            <v>20840</v>
          </cell>
          <cell r="E187">
            <v>232970</v>
          </cell>
          <cell r="F187">
            <v>8.9</v>
          </cell>
          <cell r="G187">
            <v>236370</v>
          </cell>
          <cell r="H187">
            <v>213660</v>
          </cell>
          <cell r="I187">
            <v>22720</v>
          </cell>
          <cell r="J187">
            <v>9.6107309864001227</v>
          </cell>
        </row>
        <row r="188">
          <cell r="B188" t="str">
            <v>MT5344067</v>
          </cell>
          <cell r="C188">
            <v>214070</v>
          </cell>
          <cell r="D188">
            <v>20250</v>
          </cell>
          <cell r="E188">
            <v>234320</v>
          </cell>
          <cell r="F188">
            <v>8.6</v>
          </cell>
          <cell r="G188">
            <v>236080</v>
          </cell>
          <cell r="H188">
            <v>213720</v>
          </cell>
          <cell r="I188">
            <v>22360</v>
          </cell>
          <cell r="J188">
            <v>9.4733453429612062</v>
          </cell>
        </row>
        <row r="189">
          <cell r="B189" t="str">
            <v>MT5344068</v>
          </cell>
          <cell r="C189" t="str">
            <v/>
          </cell>
          <cell r="D189" t="str">
            <v/>
          </cell>
          <cell r="E189" t="e">
            <v>#VALUE!</v>
          </cell>
          <cell r="F189" t="str">
            <v/>
          </cell>
          <cell r="G189" t="str">
            <v/>
          </cell>
          <cell r="H189" t="str">
            <v/>
          </cell>
          <cell r="I189" t="str">
            <v/>
          </cell>
          <cell r="J189" t="str">
            <v/>
          </cell>
        </row>
        <row r="190">
          <cell r="B190" t="str">
            <v>MT5344069</v>
          </cell>
          <cell r="C190" t="str">
            <v/>
          </cell>
          <cell r="D190" t="str">
            <v/>
          </cell>
          <cell r="E190" t="e">
            <v>#VALUE!</v>
          </cell>
          <cell r="F190" t="str">
            <v/>
          </cell>
          <cell r="G190" t="str">
            <v/>
          </cell>
          <cell r="H190" t="str">
            <v/>
          </cell>
          <cell r="I190" t="str">
            <v/>
          </cell>
          <cell r="J190" t="str">
            <v/>
          </cell>
        </row>
        <row r="191">
          <cell r="B191" t="str">
            <v>MT53440610</v>
          </cell>
          <cell r="C191" t="str">
            <v/>
          </cell>
          <cell r="D191" t="str">
            <v/>
          </cell>
          <cell r="E191" t="e">
            <v>#VALUE!</v>
          </cell>
          <cell r="F191" t="str">
            <v/>
          </cell>
          <cell r="G191" t="str">
            <v/>
          </cell>
          <cell r="H191" t="str">
            <v/>
          </cell>
          <cell r="I191" t="str">
            <v/>
          </cell>
          <cell r="J191" t="str">
            <v/>
          </cell>
        </row>
        <row r="192">
          <cell r="B192" t="str">
            <v>MT53440611</v>
          </cell>
          <cell r="C192" t="str">
            <v/>
          </cell>
          <cell r="D192" t="str">
            <v/>
          </cell>
          <cell r="E192" t="e">
            <v>#VALUE!</v>
          </cell>
          <cell r="F192" t="str">
            <v/>
          </cell>
          <cell r="G192" t="str">
            <v/>
          </cell>
          <cell r="H192" t="str">
            <v/>
          </cell>
          <cell r="I192" t="str">
            <v/>
          </cell>
          <cell r="J192" t="str">
            <v/>
          </cell>
        </row>
        <row r="193">
          <cell r="B193" t="str">
            <v>MT53440612</v>
          </cell>
          <cell r="C193" t="str">
            <v/>
          </cell>
          <cell r="D193" t="str">
            <v/>
          </cell>
          <cell r="E193" t="e">
            <v>#VALUE!</v>
          </cell>
          <cell r="F193" t="str">
            <v/>
          </cell>
          <cell r="G193" t="str">
            <v/>
          </cell>
          <cell r="H193" t="str">
            <v/>
          </cell>
          <cell r="I193" t="str">
            <v/>
          </cell>
          <cell r="J193" t="str">
            <v/>
          </cell>
        </row>
        <row r="194">
          <cell r="B194" t="str">
            <v>MT5342661</v>
          </cell>
          <cell r="C194">
            <v>1705450</v>
          </cell>
          <cell r="D194">
            <v>172560</v>
          </cell>
          <cell r="E194">
            <v>1878010</v>
          </cell>
          <cell r="F194">
            <v>9.1999999999999993</v>
          </cell>
          <cell r="G194">
            <v>1878010</v>
          </cell>
          <cell r="H194">
            <v>1705450</v>
          </cell>
          <cell r="I194">
            <v>172560</v>
          </cell>
          <cell r="J194">
            <v>9.1999999999999993</v>
          </cell>
        </row>
        <row r="195">
          <cell r="B195" t="str">
            <v>MT5342662</v>
          </cell>
          <cell r="C195">
            <v>1710540</v>
          </cell>
          <cell r="D195">
            <v>176660</v>
          </cell>
          <cell r="E195">
            <v>1887200</v>
          </cell>
          <cell r="F195">
            <v>9.4</v>
          </cell>
          <cell r="G195">
            <v>1882610</v>
          </cell>
          <cell r="H195">
            <v>1707990</v>
          </cell>
          <cell r="I195">
            <v>174610</v>
          </cell>
          <cell r="J195">
            <v>9.2749673988967416</v>
          </cell>
        </row>
        <row r="196">
          <cell r="B196" t="str">
            <v>MT5342663</v>
          </cell>
          <cell r="C196">
            <v>1706090</v>
          </cell>
          <cell r="D196">
            <v>173800</v>
          </cell>
          <cell r="E196">
            <v>1879890</v>
          </cell>
          <cell r="F196">
            <v>9.1999999999999993</v>
          </cell>
          <cell r="G196">
            <v>1881700</v>
          </cell>
          <cell r="H196">
            <v>1707360</v>
          </cell>
          <cell r="I196">
            <v>174340</v>
          </cell>
          <cell r="J196">
            <v>9.2649813687812159</v>
          </cell>
        </row>
        <row r="197">
          <cell r="B197" t="str">
            <v>MT5342664</v>
          </cell>
          <cell r="C197">
            <v>1691960</v>
          </cell>
          <cell r="D197">
            <v>159850</v>
          </cell>
          <cell r="E197">
            <v>1851810</v>
          </cell>
          <cell r="F197">
            <v>8.6</v>
          </cell>
          <cell r="G197">
            <v>1874230</v>
          </cell>
          <cell r="H197">
            <v>1703510</v>
          </cell>
          <cell r="I197">
            <v>170720</v>
          </cell>
          <cell r="J197">
            <v>9.1086776331462609</v>
          </cell>
        </row>
        <row r="198">
          <cell r="B198" t="str">
            <v>MT5342665</v>
          </cell>
          <cell r="C198">
            <v>1703430</v>
          </cell>
          <cell r="D198">
            <v>159540</v>
          </cell>
          <cell r="E198">
            <v>1862970</v>
          </cell>
          <cell r="F198">
            <v>8.6</v>
          </cell>
          <cell r="G198">
            <v>1871980</v>
          </cell>
          <cell r="H198">
            <v>1703490</v>
          </cell>
          <cell r="I198">
            <v>168480</v>
          </cell>
          <cell r="J198">
            <v>9.0002241482207346</v>
          </cell>
        </row>
        <row r="199">
          <cell r="B199" t="str">
            <v>MT5342666</v>
          </cell>
          <cell r="C199">
            <v>1695350</v>
          </cell>
          <cell r="D199">
            <v>173560</v>
          </cell>
          <cell r="E199">
            <v>1868910</v>
          </cell>
          <cell r="F199">
            <v>9.3000000000000007</v>
          </cell>
          <cell r="G199">
            <v>1871460</v>
          </cell>
          <cell r="H199">
            <v>1702140</v>
          </cell>
          <cell r="I199">
            <v>169330</v>
          </cell>
          <cell r="J199">
            <v>9.0478622575817411</v>
          </cell>
        </row>
        <row r="200">
          <cell r="B200" t="str">
            <v>MT5342667</v>
          </cell>
          <cell r="C200">
            <v>1688950</v>
          </cell>
          <cell r="D200">
            <v>169620</v>
          </cell>
          <cell r="E200">
            <v>1858570</v>
          </cell>
          <cell r="F200">
            <v>9.1</v>
          </cell>
          <cell r="G200">
            <v>1869620</v>
          </cell>
          <cell r="H200">
            <v>1700250</v>
          </cell>
          <cell r="I200">
            <v>169370</v>
          </cell>
          <cell r="J200">
            <v>9.0589816703972392</v>
          </cell>
        </row>
        <row r="201">
          <cell r="B201" t="str">
            <v>MT5342668</v>
          </cell>
          <cell r="C201" t="str">
            <v/>
          </cell>
          <cell r="D201" t="str">
            <v/>
          </cell>
          <cell r="E201" t="e">
            <v>#VALUE!</v>
          </cell>
          <cell r="F201" t="str">
            <v/>
          </cell>
          <cell r="G201" t="str">
            <v/>
          </cell>
          <cell r="H201" t="str">
            <v/>
          </cell>
          <cell r="I201" t="str">
            <v/>
          </cell>
          <cell r="J201" t="str">
            <v/>
          </cell>
        </row>
        <row r="202">
          <cell r="B202" t="str">
            <v>MT5342669</v>
          </cell>
          <cell r="C202" t="str">
            <v/>
          </cell>
          <cell r="D202" t="str">
            <v/>
          </cell>
          <cell r="E202" t="e">
            <v>#VALUE!</v>
          </cell>
          <cell r="F202" t="str">
            <v/>
          </cell>
          <cell r="G202" t="str">
            <v/>
          </cell>
          <cell r="H202" t="str">
            <v/>
          </cell>
          <cell r="I202" t="str">
            <v/>
          </cell>
          <cell r="J202" t="str">
            <v/>
          </cell>
        </row>
        <row r="203">
          <cell r="B203" t="str">
            <v>MT53426610</v>
          </cell>
          <cell r="C203" t="str">
            <v/>
          </cell>
          <cell r="D203" t="str">
            <v/>
          </cell>
          <cell r="E203" t="e">
            <v>#VALUE!</v>
          </cell>
          <cell r="F203" t="str">
            <v/>
          </cell>
          <cell r="G203" t="str">
            <v/>
          </cell>
          <cell r="H203" t="str">
            <v/>
          </cell>
          <cell r="I203" t="str">
            <v/>
          </cell>
          <cell r="J203" t="str">
            <v/>
          </cell>
        </row>
        <row r="204">
          <cell r="B204" t="str">
            <v>MT53426611</v>
          </cell>
          <cell r="C204" t="str">
            <v/>
          </cell>
          <cell r="D204" t="str">
            <v/>
          </cell>
          <cell r="E204" t="e">
            <v>#VALUE!</v>
          </cell>
          <cell r="F204" t="str">
            <v/>
          </cell>
          <cell r="G204" t="str">
            <v/>
          </cell>
          <cell r="H204" t="str">
            <v/>
          </cell>
          <cell r="I204" t="str">
            <v/>
          </cell>
          <cell r="J204" t="str">
            <v/>
          </cell>
        </row>
        <row r="205">
          <cell r="B205" t="str">
            <v>MT53426612</v>
          </cell>
          <cell r="C205" t="str">
            <v/>
          </cell>
          <cell r="D205" t="str">
            <v/>
          </cell>
          <cell r="E205" t="e">
            <v>#VALUE!</v>
          </cell>
          <cell r="F205" t="str">
            <v/>
          </cell>
          <cell r="G205" t="str">
            <v/>
          </cell>
          <cell r="H205" t="str">
            <v/>
          </cell>
          <cell r="I205" t="str">
            <v/>
          </cell>
          <cell r="J205" t="str">
            <v/>
          </cell>
        </row>
        <row r="206">
          <cell r="B206" t="str">
            <v>MT5336501</v>
          </cell>
          <cell r="C206">
            <v>118360</v>
          </cell>
          <cell r="D206">
            <v>11050</v>
          </cell>
          <cell r="E206">
            <v>129410</v>
          </cell>
          <cell r="F206">
            <v>8.5</v>
          </cell>
          <cell r="G206">
            <v>129410</v>
          </cell>
          <cell r="H206">
            <v>118360</v>
          </cell>
          <cell r="I206">
            <v>11050</v>
          </cell>
          <cell r="J206">
            <v>8.5</v>
          </cell>
        </row>
        <row r="207">
          <cell r="B207" t="str">
            <v>MT5336502</v>
          </cell>
          <cell r="C207">
            <v>118470</v>
          </cell>
          <cell r="D207">
            <v>11240</v>
          </cell>
          <cell r="E207">
            <v>129710</v>
          </cell>
          <cell r="F207">
            <v>8.6999999999999993</v>
          </cell>
          <cell r="G207">
            <v>129560</v>
          </cell>
          <cell r="H207">
            <v>118410</v>
          </cell>
          <cell r="I207">
            <v>11150</v>
          </cell>
          <cell r="J207">
            <v>8.6022916288780742</v>
          </cell>
        </row>
        <row r="208">
          <cell r="B208" t="str">
            <v>MT5336503</v>
          </cell>
          <cell r="C208">
            <v>119760</v>
          </cell>
          <cell r="D208">
            <v>11390</v>
          </cell>
          <cell r="E208">
            <v>131150</v>
          </cell>
          <cell r="F208">
            <v>8.6999999999999993</v>
          </cell>
          <cell r="G208">
            <v>130090</v>
          </cell>
          <cell r="H208">
            <v>118860</v>
          </cell>
          <cell r="I208">
            <v>11230</v>
          </cell>
          <cell r="J208">
            <v>8.6290084942282803</v>
          </cell>
        </row>
        <row r="209">
          <cell r="B209" t="str">
            <v>MT5336504</v>
          </cell>
          <cell r="C209">
            <v>119780</v>
          </cell>
          <cell r="D209">
            <v>10310</v>
          </cell>
          <cell r="E209">
            <v>130090</v>
          </cell>
          <cell r="F209">
            <v>7.9</v>
          </cell>
          <cell r="G209">
            <v>130090</v>
          </cell>
          <cell r="H209">
            <v>119090</v>
          </cell>
          <cell r="I209">
            <v>11000</v>
          </cell>
          <cell r="J209">
            <v>8.4525962382939142</v>
          </cell>
        </row>
        <row r="210">
          <cell r="B210" t="str">
            <v>MT5336505</v>
          </cell>
          <cell r="C210">
            <v>119670</v>
          </cell>
          <cell r="D210">
            <v>10430</v>
          </cell>
          <cell r="E210">
            <v>130100</v>
          </cell>
          <cell r="F210">
            <v>8</v>
          </cell>
          <cell r="G210">
            <v>130090</v>
          </cell>
          <cell r="H210">
            <v>119210</v>
          </cell>
          <cell r="I210">
            <v>10880</v>
          </cell>
          <cell r="J210">
            <v>8.3651189712983776</v>
          </cell>
        </row>
        <row r="211">
          <cell r="B211" t="str">
            <v>MT5336506</v>
          </cell>
          <cell r="C211">
            <v>116750</v>
          </cell>
          <cell r="D211">
            <v>10530</v>
          </cell>
          <cell r="E211">
            <v>127280</v>
          </cell>
          <cell r="F211">
            <v>8.3000000000000007</v>
          </cell>
          <cell r="G211">
            <v>129620</v>
          </cell>
          <cell r="H211">
            <v>118800</v>
          </cell>
          <cell r="I211">
            <v>10820</v>
          </cell>
          <cell r="J211">
            <v>8.3498558618330865</v>
          </cell>
        </row>
        <row r="212">
          <cell r="B212" t="str">
            <v>MT5336507</v>
          </cell>
          <cell r="C212">
            <v>115380</v>
          </cell>
          <cell r="D212">
            <v>10170</v>
          </cell>
          <cell r="E212">
            <v>125550</v>
          </cell>
          <cell r="F212">
            <v>8.1</v>
          </cell>
          <cell r="G212">
            <v>129040</v>
          </cell>
          <cell r="H212">
            <v>118310</v>
          </cell>
          <cell r="I212">
            <v>10730</v>
          </cell>
          <cell r="J212">
            <v>8.3148542802579488</v>
          </cell>
        </row>
        <row r="213">
          <cell r="B213" t="str">
            <v>MT5336508</v>
          </cell>
          <cell r="C213" t="str">
            <v/>
          </cell>
          <cell r="D213" t="str">
            <v/>
          </cell>
          <cell r="E213" t="e">
            <v>#VALUE!</v>
          </cell>
          <cell r="F213" t="str">
            <v/>
          </cell>
          <cell r="G213" t="str">
            <v/>
          </cell>
          <cell r="H213" t="str">
            <v/>
          </cell>
          <cell r="I213" t="str">
            <v/>
          </cell>
          <cell r="J213" t="str">
            <v/>
          </cell>
        </row>
        <row r="214">
          <cell r="B214" t="str">
            <v>MT5336509</v>
          </cell>
          <cell r="C214" t="str">
            <v/>
          </cell>
          <cell r="D214" t="str">
            <v/>
          </cell>
          <cell r="E214" t="e">
            <v>#VALUE!</v>
          </cell>
          <cell r="F214" t="str">
            <v/>
          </cell>
          <cell r="G214" t="str">
            <v/>
          </cell>
          <cell r="H214" t="str">
            <v/>
          </cell>
          <cell r="I214" t="str">
            <v/>
          </cell>
          <cell r="J214" t="str">
            <v/>
          </cell>
        </row>
        <row r="215">
          <cell r="B215" t="str">
            <v>MT53365010</v>
          </cell>
          <cell r="C215" t="str">
            <v/>
          </cell>
          <cell r="D215" t="str">
            <v/>
          </cell>
          <cell r="E215" t="e">
            <v>#VALUE!</v>
          </cell>
          <cell r="F215" t="str">
            <v/>
          </cell>
          <cell r="G215" t="str">
            <v/>
          </cell>
          <cell r="H215" t="str">
            <v/>
          </cell>
          <cell r="I215" t="str">
            <v/>
          </cell>
          <cell r="J215" t="str">
            <v/>
          </cell>
        </row>
        <row r="216">
          <cell r="B216" t="str">
            <v>MT53365011</v>
          </cell>
          <cell r="C216" t="str">
            <v/>
          </cell>
          <cell r="D216" t="str">
            <v/>
          </cell>
          <cell r="E216" t="e">
            <v>#VALUE!</v>
          </cell>
          <cell r="F216" t="str">
            <v/>
          </cell>
          <cell r="G216" t="str">
            <v/>
          </cell>
          <cell r="H216" t="str">
            <v/>
          </cell>
          <cell r="I216" t="str">
            <v/>
          </cell>
          <cell r="J216" t="str">
            <v/>
          </cell>
        </row>
        <row r="217">
          <cell r="B217" t="str">
            <v>MT53365012</v>
          </cell>
          <cell r="C217" t="str">
            <v/>
          </cell>
          <cell r="D217" t="str">
            <v/>
          </cell>
          <cell r="E217" t="e">
            <v>#VALUE!</v>
          </cell>
          <cell r="F217" t="str">
            <v/>
          </cell>
          <cell r="G217" t="str">
            <v/>
          </cell>
          <cell r="H217" t="str">
            <v/>
          </cell>
          <cell r="I217" t="str">
            <v/>
          </cell>
          <cell r="J217" t="str">
            <v/>
          </cell>
        </row>
        <row r="218">
          <cell r="B218" t="str">
            <v>MT5334581</v>
          </cell>
          <cell r="C218">
            <v>51380</v>
          </cell>
          <cell r="D218">
            <v>6460</v>
          </cell>
          <cell r="E218">
            <v>57840</v>
          </cell>
          <cell r="F218">
            <v>11.2</v>
          </cell>
          <cell r="G218">
            <v>57840</v>
          </cell>
          <cell r="H218">
            <v>51380</v>
          </cell>
          <cell r="I218">
            <v>6460</v>
          </cell>
          <cell r="J218">
            <v>11.2</v>
          </cell>
        </row>
        <row r="219">
          <cell r="B219" t="str">
            <v>MT5334582</v>
          </cell>
          <cell r="C219">
            <v>51810</v>
          </cell>
          <cell r="D219">
            <v>6420</v>
          </cell>
          <cell r="E219">
            <v>58230</v>
          </cell>
          <cell r="F219">
            <v>11</v>
          </cell>
          <cell r="G219">
            <v>58030</v>
          </cell>
          <cell r="H219">
            <v>51600</v>
          </cell>
          <cell r="I219">
            <v>6440</v>
          </cell>
          <cell r="J219">
            <v>11.093496915601198</v>
          </cell>
        </row>
        <row r="220">
          <cell r="B220" t="str">
            <v>MT5334583</v>
          </cell>
          <cell r="C220">
            <v>51420</v>
          </cell>
          <cell r="D220">
            <v>6500</v>
          </cell>
          <cell r="E220">
            <v>57920</v>
          </cell>
          <cell r="F220">
            <v>11.2</v>
          </cell>
          <cell r="G220">
            <v>57990</v>
          </cell>
          <cell r="H220">
            <v>51540</v>
          </cell>
          <cell r="I220">
            <v>6460</v>
          </cell>
          <cell r="J220">
            <v>11.133974399503394</v>
          </cell>
        </row>
        <row r="221">
          <cell r="B221" t="str">
            <v>MT5334584</v>
          </cell>
          <cell r="C221">
            <v>51700</v>
          </cell>
          <cell r="D221">
            <v>5700</v>
          </cell>
          <cell r="E221">
            <v>57400</v>
          </cell>
          <cell r="F221">
            <v>9.9</v>
          </cell>
          <cell r="G221">
            <v>57840</v>
          </cell>
          <cell r="H221">
            <v>51580</v>
          </cell>
          <cell r="I221">
            <v>6270</v>
          </cell>
          <cell r="J221">
            <v>10.835469078870599</v>
          </cell>
        </row>
        <row r="222">
          <cell r="B222" t="str">
            <v>MT5334585</v>
          </cell>
          <cell r="C222">
            <v>51590</v>
          </cell>
          <cell r="D222">
            <v>5620</v>
          </cell>
          <cell r="E222">
            <v>57210</v>
          </cell>
          <cell r="F222">
            <v>9.8000000000000007</v>
          </cell>
          <cell r="G222">
            <v>57720</v>
          </cell>
          <cell r="H222">
            <v>51580</v>
          </cell>
          <cell r="I222">
            <v>6140</v>
          </cell>
          <cell r="J222">
            <v>10.635503655705326</v>
          </cell>
        </row>
        <row r="223">
          <cell r="B223" t="str">
            <v>MT5334586</v>
          </cell>
          <cell r="C223">
            <v>51380</v>
          </cell>
          <cell r="D223">
            <v>5700</v>
          </cell>
          <cell r="E223">
            <v>57080</v>
          </cell>
          <cell r="F223">
            <v>10</v>
          </cell>
          <cell r="G223">
            <v>57610</v>
          </cell>
          <cell r="H223">
            <v>51550</v>
          </cell>
          <cell r="I223">
            <v>6070</v>
          </cell>
          <cell r="J223">
            <v>10.528965068344544</v>
          </cell>
        </row>
        <row r="224">
          <cell r="B224" t="str">
            <v>MT5334587</v>
          </cell>
          <cell r="C224">
            <v>52520</v>
          </cell>
          <cell r="D224">
            <v>5530</v>
          </cell>
          <cell r="E224">
            <v>58050</v>
          </cell>
          <cell r="F224">
            <v>9.5</v>
          </cell>
          <cell r="G224">
            <v>57680</v>
          </cell>
          <cell r="H224">
            <v>51690</v>
          </cell>
          <cell r="I224">
            <v>5990</v>
          </cell>
          <cell r="J224">
            <v>10.38479162796458</v>
          </cell>
        </row>
        <row r="225">
          <cell r="B225" t="str">
            <v>MT5334588</v>
          </cell>
          <cell r="C225" t="str">
            <v/>
          </cell>
          <cell r="D225" t="str">
            <v/>
          </cell>
          <cell r="E225" t="e">
            <v>#VALUE!</v>
          </cell>
          <cell r="F225" t="str">
            <v/>
          </cell>
          <cell r="G225" t="str">
            <v/>
          </cell>
          <cell r="H225" t="str">
            <v/>
          </cell>
          <cell r="I225" t="str">
            <v/>
          </cell>
          <cell r="J225" t="str">
            <v/>
          </cell>
        </row>
        <row r="226">
          <cell r="B226" t="str">
            <v>MT5334589</v>
          </cell>
          <cell r="C226" t="str">
            <v/>
          </cell>
          <cell r="D226" t="str">
            <v/>
          </cell>
          <cell r="E226" t="e">
            <v>#VALUE!</v>
          </cell>
          <cell r="F226" t="str">
            <v/>
          </cell>
          <cell r="G226" t="str">
            <v/>
          </cell>
          <cell r="H226" t="str">
            <v/>
          </cell>
          <cell r="I226" t="str">
            <v/>
          </cell>
          <cell r="J226" t="str">
            <v/>
          </cell>
        </row>
        <row r="227">
          <cell r="B227" t="str">
            <v>MT53345810</v>
          </cell>
          <cell r="C227" t="str">
            <v/>
          </cell>
          <cell r="D227" t="str">
            <v/>
          </cell>
          <cell r="E227" t="e">
            <v>#VALUE!</v>
          </cell>
          <cell r="F227" t="str">
            <v/>
          </cell>
          <cell r="G227" t="str">
            <v/>
          </cell>
          <cell r="H227" t="str">
            <v/>
          </cell>
          <cell r="I227" t="str">
            <v/>
          </cell>
          <cell r="J227" t="str">
            <v/>
          </cell>
        </row>
        <row r="228">
          <cell r="B228" t="str">
            <v>MT53345811</v>
          </cell>
          <cell r="C228" t="str">
            <v/>
          </cell>
          <cell r="D228" t="str">
            <v/>
          </cell>
          <cell r="E228" t="e">
            <v>#VALUE!</v>
          </cell>
          <cell r="F228" t="str">
            <v/>
          </cell>
          <cell r="G228" t="str">
            <v/>
          </cell>
          <cell r="H228" t="str">
            <v/>
          </cell>
          <cell r="I228" t="str">
            <v/>
          </cell>
          <cell r="J228" t="str">
            <v/>
          </cell>
        </row>
        <row r="229">
          <cell r="B229" t="str">
            <v>MT53345812</v>
          </cell>
          <cell r="C229" t="str">
            <v/>
          </cell>
          <cell r="D229" t="str">
            <v/>
          </cell>
          <cell r="E229" t="e">
            <v>#VALUE!</v>
          </cell>
          <cell r="F229" t="str">
            <v/>
          </cell>
          <cell r="G229" t="str">
            <v/>
          </cell>
          <cell r="H229" t="str">
            <v/>
          </cell>
          <cell r="I229" t="str">
            <v/>
          </cell>
          <cell r="J229" t="str">
            <v/>
          </cell>
        </row>
        <row r="230">
          <cell r="B230" t="str">
            <v>MT5331021</v>
          </cell>
          <cell r="C230">
            <v>37860</v>
          </cell>
          <cell r="D230">
            <v>5660</v>
          </cell>
          <cell r="E230">
            <v>43520</v>
          </cell>
          <cell r="F230">
            <v>13</v>
          </cell>
          <cell r="G230">
            <v>43520</v>
          </cell>
          <cell r="H230">
            <v>37860</v>
          </cell>
          <cell r="I230">
            <v>5660</v>
          </cell>
          <cell r="J230">
            <v>13</v>
          </cell>
        </row>
        <row r="231">
          <cell r="B231" t="str">
            <v>MT5331022</v>
          </cell>
          <cell r="C231">
            <v>37720</v>
          </cell>
          <cell r="D231">
            <v>5700</v>
          </cell>
          <cell r="E231">
            <v>43420</v>
          </cell>
          <cell r="F231">
            <v>13.1</v>
          </cell>
          <cell r="G231">
            <v>43470</v>
          </cell>
          <cell r="H231">
            <v>37790</v>
          </cell>
          <cell r="I231">
            <v>5680</v>
          </cell>
          <cell r="J231">
            <v>13.071331631127366</v>
          </cell>
        </row>
        <row r="232">
          <cell r="B232" t="str">
            <v>MT5331023</v>
          </cell>
          <cell r="C232">
            <v>38220</v>
          </cell>
          <cell r="D232">
            <v>5590</v>
          </cell>
          <cell r="E232">
            <v>43810</v>
          </cell>
          <cell r="F232">
            <v>12.8</v>
          </cell>
          <cell r="G232">
            <v>43580</v>
          </cell>
          <cell r="H232">
            <v>37930</v>
          </cell>
          <cell r="I232">
            <v>5650</v>
          </cell>
          <cell r="J232">
            <v>12.96806167400881</v>
          </cell>
        </row>
        <row r="233">
          <cell r="B233" t="str">
            <v>MT5331024</v>
          </cell>
          <cell r="C233">
            <v>37880</v>
          </cell>
          <cell r="D233">
            <v>5200</v>
          </cell>
          <cell r="E233">
            <v>43080</v>
          </cell>
          <cell r="F233">
            <v>12.1</v>
          </cell>
          <cell r="G233">
            <v>43460</v>
          </cell>
          <cell r="H233">
            <v>37920</v>
          </cell>
          <cell r="I233">
            <v>5540</v>
          </cell>
          <cell r="J233">
            <v>12.74363163586994</v>
          </cell>
        </row>
        <row r="234">
          <cell r="B234" t="str">
            <v>MT5331025</v>
          </cell>
          <cell r="C234">
            <v>38380</v>
          </cell>
          <cell r="D234">
            <v>5140</v>
          </cell>
          <cell r="E234">
            <v>43520</v>
          </cell>
          <cell r="F234">
            <v>11.8</v>
          </cell>
          <cell r="G234">
            <v>43470</v>
          </cell>
          <cell r="H234">
            <v>38010</v>
          </cell>
          <cell r="I234">
            <v>5460</v>
          </cell>
          <cell r="J234">
            <v>12.555901135506192</v>
          </cell>
        </row>
        <row r="235">
          <cell r="B235" t="str">
            <v>MT5331026</v>
          </cell>
          <cell r="C235">
            <v>37370</v>
          </cell>
          <cell r="D235">
            <v>5220</v>
          </cell>
          <cell r="E235">
            <v>42590</v>
          </cell>
          <cell r="F235">
            <v>12.2</v>
          </cell>
          <cell r="G235">
            <v>43320</v>
          </cell>
          <cell r="H235">
            <v>37900</v>
          </cell>
          <cell r="I235">
            <v>5420</v>
          </cell>
          <cell r="J235">
            <v>12.505770651237228</v>
          </cell>
        </row>
        <row r="236">
          <cell r="B236" t="str">
            <v>MT5331027</v>
          </cell>
          <cell r="C236">
            <v>37390</v>
          </cell>
          <cell r="D236">
            <v>4800</v>
          </cell>
          <cell r="E236">
            <v>42190</v>
          </cell>
          <cell r="F236">
            <v>11.4</v>
          </cell>
          <cell r="G236">
            <v>43160</v>
          </cell>
          <cell r="H236">
            <v>37830</v>
          </cell>
          <cell r="I236">
            <v>5330</v>
          </cell>
          <cell r="J236">
            <v>12.348576119047305</v>
          </cell>
        </row>
        <row r="237">
          <cell r="B237" t="str">
            <v>MT5331028</v>
          </cell>
          <cell r="C237" t="str">
            <v/>
          </cell>
          <cell r="D237" t="str">
            <v/>
          </cell>
          <cell r="E237" t="e">
            <v>#VALUE!</v>
          </cell>
          <cell r="F237" t="str">
            <v/>
          </cell>
          <cell r="G237" t="str">
            <v/>
          </cell>
          <cell r="H237" t="str">
            <v/>
          </cell>
          <cell r="I237" t="str">
            <v/>
          </cell>
          <cell r="J237" t="str">
            <v/>
          </cell>
        </row>
        <row r="238">
          <cell r="B238" t="str">
            <v>MT5331029</v>
          </cell>
          <cell r="C238" t="str">
            <v/>
          </cell>
          <cell r="D238" t="str">
            <v/>
          </cell>
          <cell r="E238" t="e">
            <v>#VALUE!</v>
          </cell>
          <cell r="F238" t="str">
            <v/>
          </cell>
          <cell r="G238" t="str">
            <v/>
          </cell>
          <cell r="H238" t="str">
            <v/>
          </cell>
          <cell r="I238" t="str">
            <v/>
          </cell>
          <cell r="J238" t="str">
            <v/>
          </cell>
        </row>
        <row r="239">
          <cell r="B239" t="str">
            <v>MT53310210</v>
          </cell>
          <cell r="C239" t="str">
            <v/>
          </cell>
          <cell r="D239" t="str">
            <v/>
          </cell>
          <cell r="E239" t="e">
            <v>#VALUE!</v>
          </cell>
          <cell r="F239" t="str">
            <v/>
          </cell>
          <cell r="G239" t="str">
            <v/>
          </cell>
          <cell r="H239" t="str">
            <v/>
          </cell>
          <cell r="I239" t="str">
            <v/>
          </cell>
          <cell r="J239" t="str">
            <v/>
          </cell>
        </row>
        <row r="240">
          <cell r="B240" t="str">
            <v>MT53310211</v>
          </cell>
          <cell r="C240" t="str">
            <v/>
          </cell>
          <cell r="D240" t="str">
            <v/>
          </cell>
          <cell r="E240" t="e">
            <v>#VALUE!</v>
          </cell>
          <cell r="F240" t="str">
            <v/>
          </cell>
          <cell r="G240" t="str">
            <v/>
          </cell>
          <cell r="H240" t="str">
            <v/>
          </cell>
          <cell r="I240" t="str">
            <v/>
          </cell>
          <cell r="J240" t="str">
            <v/>
          </cell>
        </row>
        <row r="241">
          <cell r="B241" t="str">
            <v>MT53310212</v>
          </cell>
          <cell r="C241" t="str">
            <v/>
          </cell>
          <cell r="D241" t="str">
            <v/>
          </cell>
          <cell r="E241" t="e">
            <v>#VALUE!</v>
          </cell>
          <cell r="F241" t="str">
            <v/>
          </cell>
          <cell r="G241" t="str">
            <v/>
          </cell>
          <cell r="H241" t="str">
            <v/>
          </cell>
          <cell r="I241" t="str">
            <v/>
          </cell>
          <cell r="J241" t="str">
            <v/>
          </cell>
        </row>
        <row r="242">
          <cell r="B242" t="str">
            <v>MT5328421</v>
          </cell>
          <cell r="C242">
            <v>120420</v>
          </cell>
          <cell r="D242">
            <v>11370</v>
          </cell>
          <cell r="E242">
            <v>131790</v>
          </cell>
          <cell r="F242">
            <v>8.6</v>
          </cell>
          <cell r="G242">
            <v>131790</v>
          </cell>
          <cell r="H242">
            <v>120420</v>
          </cell>
          <cell r="I242">
            <v>11370</v>
          </cell>
          <cell r="J242">
            <v>8.6</v>
          </cell>
        </row>
        <row r="243">
          <cell r="B243" t="str">
            <v>MT5328422</v>
          </cell>
          <cell r="C243">
            <v>120870</v>
          </cell>
          <cell r="D243">
            <v>10980</v>
          </cell>
          <cell r="E243">
            <v>131850</v>
          </cell>
          <cell r="F243">
            <v>8.3000000000000007</v>
          </cell>
          <cell r="G243">
            <v>131820</v>
          </cell>
          <cell r="H243">
            <v>120650</v>
          </cell>
          <cell r="I243">
            <v>11170</v>
          </cell>
          <cell r="J243">
            <v>8.4760163557605495</v>
          </cell>
        </row>
        <row r="244">
          <cell r="B244" t="str">
            <v>MT5328423</v>
          </cell>
          <cell r="C244">
            <v>122480</v>
          </cell>
          <cell r="D244">
            <v>10740</v>
          </cell>
          <cell r="E244">
            <v>133220</v>
          </cell>
          <cell r="F244">
            <v>8.1</v>
          </cell>
          <cell r="G244">
            <v>132290</v>
          </cell>
          <cell r="H244">
            <v>121260</v>
          </cell>
          <cell r="I244">
            <v>11030</v>
          </cell>
          <cell r="J244">
            <v>8.337029048319792</v>
          </cell>
        </row>
        <row r="245">
          <cell r="B245" t="str">
            <v>MT5328424</v>
          </cell>
          <cell r="C245">
            <v>122860</v>
          </cell>
          <cell r="D245">
            <v>9530</v>
          </cell>
          <cell r="E245">
            <v>132390</v>
          </cell>
          <cell r="F245">
            <v>7.2</v>
          </cell>
          <cell r="G245">
            <v>132310</v>
          </cell>
          <cell r="H245">
            <v>121660</v>
          </cell>
          <cell r="I245">
            <v>10650</v>
          </cell>
          <cell r="J245">
            <v>8.0514543331456458</v>
          </cell>
        </row>
        <row r="246">
          <cell r="B246" t="str">
            <v>MT5328425</v>
          </cell>
          <cell r="C246">
            <v>123480</v>
          </cell>
          <cell r="D246">
            <v>9670</v>
          </cell>
          <cell r="E246">
            <v>133150</v>
          </cell>
          <cell r="F246">
            <v>7.3</v>
          </cell>
          <cell r="G246">
            <v>132480</v>
          </cell>
          <cell r="H246">
            <v>122020</v>
          </cell>
          <cell r="I246">
            <v>10460</v>
          </cell>
          <cell r="J246">
            <v>7.8931755221582289</v>
          </cell>
        </row>
        <row r="247">
          <cell r="B247" t="str">
            <v>MT5328426</v>
          </cell>
          <cell r="C247">
            <v>128000</v>
          </cell>
          <cell r="D247">
            <v>9920</v>
          </cell>
          <cell r="E247">
            <v>137920</v>
          </cell>
          <cell r="F247">
            <v>7.2</v>
          </cell>
          <cell r="G247">
            <v>133390</v>
          </cell>
          <cell r="H247">
            <v>123020</v>
          </cell>
          <cell r="I247">
            <v>10370</v>
          </cell>
          <cell r="J247">
            <v>7.7723243626876455</v>
          </cell>
        </row>
        <row r="248">
          <cell r="B248" t="str">
            <v>MT5328427</v>
          </cell>
          <cell r="C248">
            <v>125250</v>
          </cell>
          <cell r="D248">
            <v>9730</v>
          </cell>
          <cell r="E248">
            <v>134980</v>
          </cell>
          <cell r="F248">
            <v>7.2</v>
          </cell>
          <cell r="G248">
            <v>133610</v>
          </cell>
          <cell r="H248">
            <v>123340</v>
          </cell>
          <cell r="I248">
            <v>10280</v>
          </cell>
          <cell r="J248">
            <v>7.6906956802518165</v>
          </cell>
        </row>
        <row r="249">
          <cell r="B249" t="str">
            <v>MT5328428</v>
          </cell>
          <cell r="C249" t="str">
            <v/>
          </cell>
          <cell r="D249" t="str">
            <v/>
          </cell>
          <cell r="E249" t="e">
            <v>#VALUE!</v>
          </cell>
          <cell r="F249" t="str">
            <v/>
          </cell>
          <cell r="G249" t="str">
            <v/>
          </cell>
          <cell r="H249" t="str">
            <v/>
          </cell>
          <cell r="I249" t="str">
            <v/>
          </cell>
          <cell r="J249" t="str">
            <v/>
          </cell>
        </row>
        <row r="250">
          <cell r="B250" t="str">
            <v>MT5328429</v>
          </cell>
          <cell r="C250" t="str">
            <v/>
          </cell>
          <cell r="D250" t="str">
            <v/>
          </cell>
          <cell r="E250" t="e">
            <v>#VALUE!</v>
          </cell>
          <cell r="F250" t="str">
            <v/>
          </cell>
          <cell r="G250" t="str">
            <v/>
          </cell>
          <cell r="H250" t="str">
            <v/>
          </cell>
          <cell r="I250" t="str">
            <v/>
          </cell>
          <cell r="J250" t="str">
            <v/>
          </cell>
        </row>
        <row r="251">
          <cell r="B251" t="str">
            <v>MT53284210</v>
          </cell>
          <cell r="C251" t="str">
            <v/>
          </cell>
          <cell r="D251" t="str">
            <v/>
          </cell>
          <cell r="E251" t="e">
            <v>#VALUE!</v>
          </cell>
          <cell r="F251" t="str">
            <v/>
          </cell>
          <cell r="G251" t="str">
            <v/>
          </cell>
          <cell r="H251" t="str">
            <v/>
          </cell>
          <cell r="I251" t="str">
            <v/>
          </cell>
          <cell r="J251" t="str">
            <v/>
          </cell>
        </row>
        <row r="252">
          <cell r="B252" t="str">
            <v>MT53284211</v>
          </cell>
          <cell r="C252" t="str">
            <v/>
          </cell>
          <cell r="D252" t="str">
            <v/>
          </cell>
          <cell r="E252" t="e">
            <v>#VALUE!</v>
          </cell>
          <cell r="F252" t="str">
            <v/>
          </cell>
          <cell r="G252" t="str">
            <v/>
          </cell>
          <cell r="H252" t="str">
            <v/>
          </cell>
          <cell r="I252" t="str">
            <v/>
          </cell>
          <cell r="J252" t="str">
            <v/>
          </cell>
        </row>
        <row r="253">
          <cell r="B253" t="str">
            <v>MT53284212</v>
          </cell>
          <cell r="C253" t="str">
            <v/>
          </cell>
          <cell r="D253" t="str">
            <v/>
          </cell>
          <cell r="E253" t="e">
            <v>#VALUE!</v>
          </cell>
          <cell r="F253" t="str">
            <v/>
          </cell>
          <cell r="G253" t="str">
            <v/>
          </cell>
          <cell r="H253" t="str">
            <v/>
          </cell>
          <cell r="I253" t="str">
            <v/>
          </cell>
          <cell r="J253" t="str">
            <v/>
          </cell>
        </row>
        <row r="254">
          <cell r="B254" t="str">
            <v>MT5314741</v>
          </cell>
          <cell r="C254">
            <v>114560</v>
          </cell>
          <cell r="D254">
            <v>10000</v>
          </cell>
          <cell r="E254">
            <v>124560</v>
          </cell>
          <cell r="F254">
            <v>8</v>
          </cell>
          <cell r="G254">
            <v>124560</v>
          </cell>
          <cell r="H254">
            <v>114560</v>
          </cell>
          <cell r="I254">
            <v>10000</v>
          </cell>
          <cell r="J254">
            <v>8</v>
          </cell>
        </row>
        <row r="255">
          <cell r="B255" t="str">
            <v>MT5314742</v>
          </cell>
          <cell r="C255">
            <v>113840</v>
          </cell>
          <cell r="D255">
            <v>10120</v>
          </cell>
          <cell r="E255">
            <v>123960</v>
          </cell>
          <cell r="F255">
            <v>8.1999999999999993</v>
          </cell>
          <cell r="G255">
            <v>124260</v>
          </cell>
          <cell r="H255">
            <v>114200</v>
          </cell>
          <cell r="I255">
            <v>10060</v>
          </cell>
          <cell r="J255">
            <v>8.0955255110252704</v>
          </cell>
        </row>
        <row r="256">
          <cell r="B256" t="str">
            <v>MT5314743</v>
          </cell>
          <cell r="C256">
            <v>113700</v>
          </cell>
          <cell r="D256">
            <v>10370</v>
          </cell>
          <cell r="E256">
            <v>124070</v>
          </cell>
          <cell r="F256">
            <v>8.4</v>
          </cell>
          <cell r="G256">
            <v>124200</v>
          </cell>
          <cell r="H256">
            <v>114040</v>
          </cell>
          <cell r="I256">
            <v>10160</v>
          </cell>
          <cell r="J256">
            <v>8.1826550686674189</v>
          </cell>
        </row>
        <row r="257">
          <cell r="B257" t="str">
            <v>MT5314744</v>
          </cell>
          <cell r="C257">
            <v>113340</v>
          </cell>
          <cell r="D257">
            <v>9240</v>
          </cell>
          <cell r="E257">
            <v>122580</v>
          </cell>
          <cell r="F257">
            <v>7.5</v>
          </cell>
          <cell r="G257">
            <v>123790</v>
          </cell>
          <cell r="H257">
            <v>113860</v>
          </cell>
          <cell r="I257">
            <v>9930</v>
          </cell>
          <cell r="J257">
            <v>8.0235793997310054</v>
          </cell>
        </row>
        <row r="258">
          <cell r="B258" t="str">
            <v>MT5314745</v>
          </cell>
          <cell r="C258">
            <v>113330</v>
          </cell>
          <cell r="D258">
            <v>9440</v>
          </cell>
          <cell r="E258">
            <v>122770</v>
          </cell>
          <cell r="F258">
            <v>7.7</v>
          </cell>
          <cell r="G258">
            <v>123590</v>
          </cell>
          <cell r="H258">
            <v>113750</v>
          </cell>
          <cell r="I258">
            <v>9830</v>
          </cell>
          <cell r="J258">
            <v>7.9570574584669762</v>
          </cell>
        </row>
        <row r="259">
          <cell r="B259" t="str">
            <v>MT5314746</v>
          </cell>
          <cell r="C259">
            <v>110930</v>
          </cell>
          <cell r="D259">
            <v>9540</v>
          </cell>
          <cell r="E259">
            <v>120470</v>
          </cell>
          <cell r="F259">
            <v>7.9</v>
          </cell>
          <cell r="G259">
            <v>123070</v>
          </cell>
          <cell r="H259">
            <v>113280</v>
          </cell>
          <cell r="I259">
            <v>9790</v>
          </cell>
          <cell r="J259">
            <v>7.9509274569789152</v>
          </cell>
        </row>
        <row r="260">
          <cell r="B260" t="str">
            <v>MT5314747</v>
          </cell>
          <cell r="C260">
            <v>109860</v>
          </cell>
          <cell r="D260">
            <v>9190</v>
          </cell>
          <cell r="E260">
            <v>119050</v>
          </cell>
          <cell r="F260">
            <v>7.7</v>
          </cell>
          <cell r="G260">
            <v>122490</v>
          </cell>
          <cell r="H260">
            <v>112790</v>
          </cell>
          <cell r="I260">
            <v>9700</v>
          </cell>
          <cell r="J260">
            <v>7.9183960982391</v>
          </cell>
        </row>
        <row r="261">
          <cell r="B261" t="str">
            <v>MT5314748</v>
          </cell>
          <cell r="C261" t="str">
            <v/>
          </cell>
          <cell r="D261" t="str">
            <v/>
          </cell>
          <cell r="E261" t="e">
            <v>#VALUE!</v>
          </cell>
          <cell r="F261" t="str">
            <v/>
          </cell>
          <cell r="G261" t="str">
            <v/>
          </cell>
          <cell r="H261" t="str">
            <v/>
          </cell>
          <cell r="I261" t="str">
            <v/>
          </cell>
          <cell r="J261" t="str">
            <v/>
          </cell>
        </row>
        <row r="262">
          <cell r="B262" t="str">
            <v>MT5314749</v>
          </cell>
          <cell r="C262" t="str">
            <v/>
          </cell>
          <cell r="D262" t="str">
            <v/>
          </cell>
          <cell r="E262" t="e">
            <v>#VALUE!</v>
          </cell>
          <cell r="F262" t="str">
            <v/>
          </cell>
          <cell r="G262" t="str">
            <v/>
          </cell>
          <cell r="H262" t="str">
            <v/>
          </cell>
          <cell r="I262" t="str">
            <v/>
          </cell>
          <cell r="J262" t="str">
            <v/>
          </cell>
        </row>
        <row r="263">
          <cell r="B263" t="str">
            <v>MT53147410</v>
          </cell>
          <cell r="C263" t="str">
            <v/>
          </cell>
          <cell r="D263" t="str">
            <v/>
          </cell>
          <cell r="E263" t="e">
            <v>#VALUE!</v>
          </cell>
          <cell r="F263" t="str">
            <v/>
          </cell>
          <cell r="G263" t="str">
            <v/>
          </cell>
          <cell r="H263" t="str">
            <v/>
          </cell>
          <cell r="I263" t="str">
            <v/>
          </cell>
          <cell r="J263" t="str">
            <v/>
          </cell>
        </row>
        <row r="264">
          <cell r="B264" t="str">
            <v>MT53147411</v>
          </cell>
          <cell r="C264" t="str">
            <v/>
          </cell>
          <cell r="D264" t="str">
            <v/>
          </cell>
          <cell r="E264" t="e">
            <v>#VALUE!</v>
          </cell>
          <cell r="F264" t="str">
            <v/>
          </cell>
          <cell r="G264" t="str">
            <v/>
          </cell>
          <cell r="H264" t="str">
            <v/>
          </cell>
          <cell r="I264" t="str">
            <v/>
          </cell>
          <cell r="J264" t="str">
            <v/>
          </cell>
        </row>
        <row r="265">
          <cell r="B265" t="str">
            <v>MT53147412</v>
          </cell>
          <cell r="C265" t="str">
            <v/>
          </cell>
          <cell r="D265" t="str">
            <v/>
          </cell>
          <cell r="E265" t="e">
            <v>#VALUE!</v>
          </cell>
          <cell r="F265" t="str">
            <v/>
          </cell>
          <cell r="G265" t="str">
            <v/>
          </cell>
          <cell r="H265" t="str">
            <v/>
          </cell>
          <cell r="I265" t="str">
            <v/>
          </cell>
          <cell r="J265" t="str">
            <v/>
          </cell>
        </row>
        <row r="266">
          <cell r="B266" t="str">
            <v>MT5313381</v>
          </cell>
          <cell r="C266">
            <v>94990</v>
          </cell>
          <cell r="D266">
            <v>9790</v>
          </cell>
          <cell r="E266">
            <v>104780</v>
          </cell>
          <cell r="F266">
            <v>9.3000000000000007</v>
          </cell>
          <cell r="G266">
            <v>104780</v>
          </cell>
          <cell r="H266">
            <v>94990</v>
          </cell>
          <cell r="I266">
            <v>9790</v>
          </cell>
          <cell r="J266">
            <v>9.3000000000000007</v>
          </cell>
        </row>
        <row r="267">
          <cell r="B267" t="str">
            <v>MT5313382</v>
          </cell>
          <cell r="C267">
            <v>94850</v>
          </cell>
          <cell r="D267">
            <v>9750</v>
          </cell>
          <cell r="E267">
            <v>104600</v>
          </cell>
          <cell r="F267">
            <v>9.3000000000000007</v>
          </cell>
          <cell r="G267">
            <v>104680</v>
          </cell>
          <cell r="H267">
            <v>94920</v>
          </cell>
          <cell r="I267">
            <v>9770</v>
          </cell>
          <cell r="J267">
            <v>9.3299390072073702</v>
          </cell>
        </row>
        <row r="268">
          <cell r="B268" t="str">
            <v>MT5313383</v>
          </cell>
          <cell r="C268">
            <v>95820</v>
          </cell>
          <cell r="D268">
            <v>9830</v>
          </cell>
          <cell r="E268">
            <v>105650</v>
          </cell>
          <cell r="F268">
            <v>9.3000000000000007</v>
          </cell>
          <cell r="G268">
            <v>105010</v>
          </cell>
          <cell r="H268">
            <v>95220</v>
          </cell>
          <cell r="I268">
            <v>9790</v>
          </cell>
          <cell r="J268">
            <v>9.3218294479150803</v>
          </cell>
        </row>
        <row r="269">
          <cell r="B269" t="str">
            <v>MT5313384</v>
          </cell>
          <cell r="C269">
            <v>95130</v>
          </cell>
          <cell r="D269">
            <v>8430</v>
          </cell>
          <cell r="E269">
            <v>103560</v>
          </cell>
          <cell r="F269">
            <v>8.1</v>
          </cell>
          <cell r="G269">
            <v>104650</v>
          </cell>
          <cell r="H269">
            <v>95200</v>
          </cell>
          <cell r="I269">
            <v>9450</v>
          </cell>
          <cell r="J269">
            <v>9.0299677006287862</v>
          </cell>
        </row>
        <row r="270">
          <cell r="B270" t="str">
            <v>MT5313385</v>
          </cell>
          <cell r="C270">
            <v>96410</v>
          </cell>
          <cell r="D270">
            <v>8490</v>
          </cell>
          <cell r="E270">
            <v>104900</v>
          </cell>
          <cell r="F270">
            <v>8.1</v>
          </cell>
          <cell r="G270">
            <v>104700</v>
          </cell>
          <cell r="H270">
            <v>95440</v>
          </cell>
          <cell r="I270">
            <v>9260</v>
          </cell>
          <cell r="J270">
            <v>8.8420312640287939</v>
          </cell>
        </row>
        <row r="271">
          <cell r="B271" t="str">
            <v>MT5313386</v>
          </cell>
          <cell r="C271">
            <v>94890</v>
          </cell>
          <cell r="D271">
            <v>8850</v>
          </cell>
          <cell r="E271">
            <v>103740</v>
          </cell>
          <cell r="F271">
            <v>8.5</v>
          </cell>
          <cell r="G271">
            <v>104540</v>
          </cell>
          <cell r="H271">
            <v>95350</v>
          </cell>
          <cell r="I271">
            <v>9190</v>
          </cell>
          <cell r="J271">
            <v>8.7902451779126238</v>
          </cell>
        </row>
        <row r="272">
          <cell r="B272" t="str">
            <v>MT5313387</v>
          </cell>
          <cell r="C272">
            <v>94390</v>
          </cell>
          <cell r="D272">
            <v>8750</v>
          </cell>
          <cell r="E272">
            <v>103140</v>
          </cell>
          <cell r="F272">
            <v>8.5</v>
          </cell>
          <cell r="G272">
            <v>104340</v>
          </cell>
          <cell r="H272">
            <v>95210</v>
          </cell>
          <cell r="I272">
            <v>9130</v>
          </cell>
          <cell r="J272">
            <v>8.7472410714774718</v>
          </cell>
        </row>
        <row r="273">
          <cell r="B273" t="str">
            <v>MT5313388</v>
          </cell>
          <cell r="C273" t="str">
            <v/>
          </cell>
          <cell r="D273" t="str">
            <v/>
          </cell>
          <cell r="E273" t="e">
            <v>#VALUE!</v>
          </cell>
          <cell r="F273" t="str">
            <v/>
          </cell>
          <cell r="G273" t="str">
            <v/>
          </cell>
          <cell r="H273" t="str">
            <v/>
          </cell>
          <cell r="I273" t="str">
            <v/>
          </cell>
          <cell r="J273" t="str">
            <v/>
          </cell>
        </row>
        <row r="274">
          <cell r="B274" t="str">
            <v>MT5313389</v>
          </cell>
          <cell r="C274" t="str">
            <v/>
          </cell>
          <cell r="D274" t="str">
            <v/>
          </cell>
          <cell r="E274" t="e">
            <v>#VALUE!</v>
          </cell>
          <cell r="F274" t="str">
            <v/>
          </cell>
          <cell r="G274" t="str">
            <v/>
          </cell>
          <cell r="H274" t="str">
            <v/>
          </cell>
          <cell r="I274" t="str">
            <v/>
          </cell>
          <cell r="J274" t="str">
            <v/>
          </cell>
        </row>
        <row r="275">
          <cell r="B275" t="str">
            <v>MT53133810</v>
          </cell>
          <cell r="C275" t="str">
            <v/>
          </cell>
          <cell r="D275" t="str">
            <v/>
          </cell>
          <cell r="E275" t="e">
            <v>#VALUE!</v>
          </cell>
          <cell r="F275" t="str">
            <v/>
          </cell>
          <cell r="G275" t="str">
            <v/>
          </cell>
          <cell r="H275" t="str">
            <v/>
          </cell>
          <cell r="I275" t="str">
            <v/>
          </cell>
          <cell r="J275" t="str">
            <v/>
          </cell>
        </row>
        <row r="276">
          <cell r="B276" t="str">
            <v>MT53133811</v>
          </cell>
          <cell r="C276" t="str">
            <v/>
          </cell>
          <cell r="D276" t="str">
            <v/>
          </cell>
          <cell r="E276" t="e">
            <v>#VALUE!</v>
          </cell>
          <cell r="F276" t="str">
            <v/>
          </cell>
          <cell r="G276" t="str">
            <v/>
          </cell>
          <cell r="H276" t="str">
            <v/>
          </cell>
          <cell r="I276" t="str">
            <v/>
          </cell>
          <cell r="J276" t="str">
            <v/>
          </cell>
        </row>
        <row r="277">
          <cell r="B277" t="str">
            <v>MT53133812</v>
          </cell>
          <cell r="C277" t="str">
            <v/>
          </cell>
          <cell r="D277" t="str">
            <v/>
          </cell>
          <cell r="E277" t="e">
            <v>#VALUE!</v>
          </cell>
          <cell r="F277" t="str">
            <v/>
          </cell>
          <cell r="G277" t="str">
            <v/>
          </cell>
          <cell r="H277" t="str">
            <v/>
          </cell>
          <cell r="I277" t="str">
            <v/>
          </cell>
          <cell r="J277" t="str">
            <v/>
          </cell>
        </row>
        <row r="278">
          <cell r="B278" t="str">
            <v>MC5347461</v>
          </cell>
          <cell r="C278">
            <v>27620</v>
          </cell>
          <cell r="D278">
            <v>2630</v>
          </cell>
          <cell r="E278">
            <v>30250</v>
          </cell>
          <cell r="F278">
            <v>8.6999999999999993</v>
          </cell>
          <cell r="G278">
            <v>30250</v>
          </cell>
          <cell r="H278">
            <v>27620</v>
          </cell>
          <cell r="I278">
            <v>2630</v>
          </cell>
          <cell r="J278">
            <v>8.6999999999999993</v>
          </cell>
        </row>
        <row r="279">
          <cell r="B279" t="str">
            <v>MC5347462</v>
          </cell>
          <cell r="C279">
            <v>28030</v>
          </cell>
          <cell r="D279">
            <v>2640</v>
          </cell>
          <cell r="E279">
            <v>30670</v>
          </cell>
          <cell r="F279">
            <v>8.6</v>
          </cell>
          <cell r="G279">
            <v>30460</v>
          </cell>
          <cell r="H279">
            <v>27820</v>
          </cell>
          <cell r="I279">
            <v>2630</v>
          </cell>
          <cell r="J279">
            <v>8.6439008373009365</v>
          </cell>
        </row>
        <row r="280">
          <cell r="B280" t="str">
            <v>MC5347463</v>
          </cell>
          <cell r="C280">
            <v>28490</v>
          </cell>
          <cell r="D280">
            <v>2620</v>
          </cell>
          <cell r="E280">
            <v>31110</v>
          </cell>
          <cell r="F280">
            <v>8.4</v>
          </cell>
          <cell r="G280">
            <v>30670</v>
          </cell>
          <cell r="H280">
            <v>28050</v>
          </cell>
          <cell r="I280">
            <v>2630</v>
          </cell>
          <cell r="J280">
            <v>8.5706834161024972</v>
          </cell>
        </row>
        <row r="281">
          <cell r="B281" t="str">
            <v>MC5347464</v>
          </cell>
          <cell r="C281">
            <v>28560</v>
          </cell>
          <cell r="D281">
            <v>2230</v>
          </cell>
          <cell r="E281">
            <v>30790</v>
          </cell>
          <cell r="F281">
            <v>7.2</v>
          </cell>
          <cell r="G281">
            <v>30700</v>
          </cell>
          <cell r="H281">
            <v>28170</v>
          </cell>
          <cell r="I281">
            <v>2530</v>
          </cell>
          <cell r="J281">
            <v>8.2360317227677626</v>
          </cell>
        </row>
        <row r="282">
          <cell r="B282" t="str">
            <v>MC5347465</v>
          </cell>
          <cell r="C282">
            <v>28990</v>
          </cell>
          <cell r="D282">
            <v>2310</v>
          </cell>
          <cell r="E282">
            <v>31300</v>
          </cell>
          <cell r="F282">
            <v>7.4</v>
          </cell>
          <cell r="G282">
            <v>30820</v>
          </cell>
          <cell r="H282">
            <v>28340</v>
          </cell>
          <cell r="I282">
            <v>2490</v>
          </cell>
          <cell r="J282">
            <v>8.0626532916336835</v>
          </cell>
        </row>
        <row r="283">
          <cell r="B283" t="str">
            <v>MC5347466</v>
          </cell>
          <cell r="C283">
            <v>29530</v>
          </cell>
          <cell r="D283">
            <v>2330</v>
          </cell>
          <cell r="E283">
            <v>31860</v>
          </cell>
          <cell r="F283">
            <v>7.3</v>
          </cell>
          <cell r="G283">
            <v>31000</v>
          </cell>
          <cell r="H283">
            <v>28540</v>
          </cell>
          <cell r="I283">
            <v>2460</v>
          </cell>
          <cell r="J283">
            <v>7.9342717955887263</v>
          </cell>
        </row>
        <row r="284">
          <cell r="B284" t="str">
            <v>MC5347467</v>
          </cell>
          <cell r="C284">
            <v>29080</v>
          </cell>
          <cell r="D284">
            <v>2150</v>
          </cell>
          <cell r="E284">
            <v>31230</v>
          </cell>
          <cell r="F284">
            <v>6.9</v>
          </cell>
          <cell r="G284">
            <v>31030</v>
          </cell>
          <cell r="H284">
            <v>28610</v>
          </cell>
          <cell r="I284">
            <v>2420</v>
          </cell>
          <cell r="J284">
            <v>7.7852002928082431</v>
          </cell>
        </row>
        <row r="285">
          <cell r="B285" t="str">
            <v>MC5347468</v>
          </cell>
          <cell r="C285" t="str">
            <v/>
          </cell>
          <cell r="D285" t="str">
            <v/>
          </cell>
          <cell r="E285" t="e">
            <v>#VALUE!</v>
          </cell>
          <cell r="F285" t="str">
            <v/>
          </cell>
          <cell r="G285" t="str">
            <v/>
          </cell>
          <cell r="H285" t="str">
            <v/>
          </cell>
          <cell r="I285" t="str">
            <v/>
          </cell>
          <cell r="J285" t="str">
            <v/>
          </cell>
        </row>
        <row r="286">
          <cell r="B286" t="str">
            <v>MC5347469</v>
          </cell>
          <cell r="C286" t="str">
            <v/>
          </cell>
          <cell r="D286" t="str">
            <v/>
          </cell>
          <cell r="E286" t="e">
            <v>#VALUE!</v>
          </cell>
          <cell r="F286" t="str">
            <v/>
          </cell>
          <cell r="G286" t="str">
            <v/>
          </cell>
          <cell r="H286" t="str">
            <v/>
          </cell>
          <cell r="I286" t="str">
            <v/>
          </cell>
          <cell r="J286" t="str">
            <v/>
          </cell>
        </row>
        <row r="287">
          <cell r="B287" t="str">
            <v>MC53474610</v>
          </cell>
          <cell r="C287" t="str">
            <v/>
          </cell>
          <cell r="D287" t="str">
            <v/>
          </cell>
          <cell r="E287" t="e">
            <v>#VALUE!</v>
          </cell>
          <cell r="F287" t="str">
            <v/>
          </cell>
          <cell r="G287" t="str">
            <v/>
          </cell>
          <cell r="H287" t="str">
            <v/>
          </cell>
          <cell r="I287" t="str">
            <v/>
          </cell>
          <cell r="J287" t="str">
            <v/>
          </cell>
        </row>
        <row r="288">
          <cell r="B288" t="str">
            <v>MC53474611</v>
          </cell>
          <cell r="C288" t="str">
            <v/>
          </cell>
          <cell r="D288" t="str">
            <v/>
          </cell>
          <cell r="E288" t="e">
            <v>#VALUE!</v>
          </cell>
          <cell r="F288" t="str">
            <v/>
          </cell>
          <cell r="G288" t="str">
            <v/>
          </cell>
          <cell r="H288" t="str">
            <v/>
          </cell>
          <cell r="I288" t="str">
            <v/>
          </cell>
          <cell r="J288" t="str">
            <v/>
          </cell>
        </row>
        <row r="289">
          <cell r="B289" t="str">
            <v>MC53474612</v>
          </cell>
          <cell r="C289" t="str">
            <v/>
          </cell>
          <cell r="D289" t="str">
            <v/>
          </cell>
          <cell r="E289" t="e">
            <v>#VALUE!</v>
          </cell>
          <cell r="F289" t="str">
            <v/>
          </cell>
          <cell r="G289" t="str">
            <v/>
          </cell>
          <cell r="H289" t="str">
            <v/>
          </cell>
          <cell r="I289" t="str">
            <v/>
          </cell>
          <cell r="J289" t="str">
            <v/>
          </cell>
        </row>
        <row r="290">
          <cell r="B290" t="str">
            <v>MC5343221</v>
          </cell>
          <cell r="C290">
            <v>22260</v>
          </cell>
          <cell r="D290">
            <v>2900</v>
          </cell>
          <cell r="E290">
            <v>25160</v>
          </cell>
          <cell r="F290">
            <v>11.5</v>
          </cell>
          <cell r="G290">
            <v>25160</v>
          </cell>
          <cell r="H290">
            <v>22260</v>
          </cell>
          <cell r="I290">
            <v>2900</v>
          </cell>
          <cell r="J290">
            <v>11.5</v>
          </cell>
        </row>
        <row r="291">
          <cell r="B291" t="str">
            <v>MC5343222</v>
          </cell>
          <cell r="C291">
            <v>22140</v>
          </cell>
          <cell r="D291">
            <v>3050</v>
          </cell>
          <cell r="E291">
            <v>25190</v>
          </cell>
          <cell r="F291">
            <v>12.1</v>
          </cell>
          <cell r="G291">
            <v>25170</v>
          </cell>
          <cell r="H291">
            <v>22200</v>
          </cell>
          <cell r="I291">
            <v>2980</v>
          </cell>
          <cell r="J291">
            <v>11.828149207484209</v>
          </cell>
        </row>
        <row r="292">
          <cell r="B292" t="str">
            <v>MC5343223</v>
          </cell>
          <cell r="C292">
            <v>22190</v>
          </cell>
          <cell r="D292">
            <v>2920</v>
          </cell>
          <cell r="E292">
            <v>25110</v>
          </cell>
          <cell r="F292">
            <v>11.6</v>
          </cell>
          <cell r="G292">
            <v>25150</v>
          </cell>
          <cell r="H292">
            <v>22190</v>
          </cell>
          <cell r="I292">
            <v>2960</v>
          </cell>
          <cell r="J292">
            <v>11.75901506818453</v>
          </cell>
        </row>
        <row r="293">
          <cell r="B293" t="str">
            <v>MC5343224</v>
          </cell>
          <cell r="C293">
            <v>22160</v>
          </cell>
          <cell r="D293">
            <v>2640</v>
          </cell>
          <cell r="E293">
            <v>24800</v>
          </cell>
          <cell r="F293">
            <v>10.6</v>
          </cell>
          <cell r="G293">
            <v>25060</v>
          </cell>
          <cell r="H293">
            <v>22190</v>
          </cell>
          <cell r="I293">
            <v>2880</v>
          </cell>
          <cell r="J293">
            <v>11.484370324562629</v>
          </cell>
        </row>
        <row r="294">
          <cell r="B294" t="str">
            <v>MC5343225</v>
          </cell>
          <cell r="C294">
            <v>22310</v>
          </cell>
          <cell r="D294">
            <v>2630</v>
          </cell>
          <cell r="E294">
            <v>24940</v>
          </cell>
          <cell r="F294">
            <v>10.5</v>
          </cell>
          <cell r="G294">
            <v>25040</v>
          </cell>
          <cell r="H294">
            <v>22210</v>
          </cell>
          <cell r="I294">
            <v>2830</v>
          </cell>
          <cell r="J294">
            <v>11.297575781780424</v>
          </cell>
        </row>
        <row r="295">
          <cell r="B295" t="str">
            <v>MC5343226</v>
          </cell>
          <cell r="C295">
            <v>22250</v>
          </cell>
          <cell r="D295">
            <v>2650</v>
          </cell>
          <cell r="E295">
            <v>24900</v>
          </cell>
          <cell r="F295">
            <v>10.6</v>
          </cell>
          <cell r="G295">
            <v>25020</v>
          </cell>
          <cell r="H295">
            <v>22220</v>
          </cell>
          <cell r="I295">
            <v>2800</v>
          </cell>
          <cell r="J295">
            <v>11.189211878127269</v>
          </cell>
        </row>
        <row r="296">
          <cell r="B296" t="str">
            <v>MC5343227</v>
          </cell>
          <cell r="C296">
            <v>21930</v>
          </cell>
          <cell r="D296">
            <v>2530</v>
          </cell>
          <cell r="E296">
            <v>24460</v>
          </cell>
          <cell r="F296">
            <v>10.3</v>
          </cell>
          <cell r="G296">
            <v>24940</v>
          </cell>
          <cell r="H296">
            <v>22180</v>
          </cell>
          <cell r="I296">
            <v>2760</v>
          </cell>
          <cell r="J296">
            <v>11.071518595751506</v>
          </cell>
        </row>
        <row r="297">
          <cell r="B297" t="str">
            <v>MC5343228</v>
          </cell>
          <cell r="C297" t="str">
            <v/>
          </cell>
          <cell r="D297" t="str">
            <v/>
          </cell>
          <cell r="E297" t="e">
            <v>#VALUE!</v>
          </cell>
          <cell r="F297" t="str">
            <v/>
          </cell>
          <cell r="G297" t="str">
            <v/>
          </cell>
          <cell r="H297" t="str">
            <v/>
          </cell>
          <cell r="I297" t="str">
            <v/>
          </cell>
          <cell r="J297" t="str">
            <v/>
          </cell>
        </row>
        <row r="298">
          <cell r="B298" t="str">
            <v>MC5343229</v>
          </cell>
          <cell r="C298" t="str">
            <v/>
          </cell>
          <cell r="D298" t="str">
            <v/>
          </cell>
          <cell r="E298" t="e">
            <v>#VALUE!</v>
          </cell>
          <cell r="F298" t="str">
            <v/>
          </cell>
          <cell r="G298" t="str">
            <v/>
          </cell>
          <cell r="H298" t="str">
            <v/>
          </cell>
          <cell r="I298" t="str">
            <v/>
          </cell>
          <cell r="J298" t="str">
            <v/>
          </cell>
        </row>
        <row r="299">
          <cell r="B299" t="str">
            <v>MC53432210</v>
          </cell>
          <cell r="C299" t="str">
            <v/>
          </cell>
          <cell r="D299" t="str">
            <v/>
          </cell>
          <cell r="E299" t="e">
            <v>#VALUE!</v>
          </cell>
          <cell r="F299" t="str">
            <v/>
          </cell>
          <cell r="G299" t="str">
            <v/>
          </cell>
          <cell r="H299" t="str">
            <v/>
          </cell>
          <cell r="I299" t="str">
            <v/>
          </cell>
          <cell r="J299" t="str">
            <v/>
          </cell>
        </row>
        <row r="300">
          <cell r="B300" t="str">
            <v>MC53432211</v>
          </cell>
          <cell r="C300" t="str">
            <v/>
          </cell>
          <cell r="D300" t="str">
            <v/>
          </cell>
          <cell r="E300" t="e">
            <v>#VALUE!</v>
          </cell>
          <cell r="F300" t="str">
            <v/>
          </cell>
          <cell r="G300" t="str">
            <v/>
          </cell>
          <cell r="H300" t="str">
            <v/>
          </cell>
          <cell r="I300" t="str">
            <v/>
          </cell>
          <cell r="J300" t="str">
            <v/>
          </cell>
        </row>
        <row r="301">
          <cell r="B301" t="str">
            <v>MC53432212</v>
          </cell>
          <cell r="C301" t="str">
            <v/>
          </cell>
          <cell r="D301" t="str">
            <v/>
          </cell>
          <cell r="E301" t="e">
            <v>#VALUE!</v>
          </cell>
          <cell r="F301" t="str">
            <v/>
          </cell>
          <cell r="G301" t="str">
            <v/>
          </cell>
          <cell r="H301" t="str">
            <v/>
          </cell>
          <cell r="I301" t="str">
            <v/>
          </cell>
          <cell r="J301" t="str">
            <v/>
          </cell>
        </row>
        <row r="302">
          <cell r="B302" t="str">
            <v>MC5339421</v>
          </cell>
          <cell r="C302">
            <v>20030</v>
          </cell>
          <cell r="D302">
            <v>1320</v>
          </cell>
          <cell r="E302">
            <v>21350</v>
          </cell>
          <cell r="F302">
            <v>6.2</v>
          </cell>
          <cell r="G302">
            <v>21350</v>
          </cell>
          <cell r="H302">
            <v>20030</v>
          </cell>
          <cell r="I302">
            <v>1320</v>
          </cell>
          <cell r="J302">
            <v>6.2</v>
          </cell>
        </row>
        <row r="303">
          <cell r="B303" t="str">
            <v>MC5339422</v>
          </cell>
          <cell r="C303">
            <v>20890</v>
          </cell>
          <cell r="D303">
            <v>1410</v>
          </cell>
          <cell r="E303">
            <v>22300</v>
          </cell>
          <cell r="F303">
            <v>6.3</v>
          </cell>
          <cell r="G303">
            <v>21830</v>
          </cell>
          <cell r="H303">
            <v>20460</v>
          </cell>
          <cell r="I303">
            <v>1360</v>
          </cell>
          <cell r="J303">
            <v>6.2494272885549345</v>
          </cell>
        </row>
        <row r="304">
          <cell r="B304" t="str">
            <v>MC5339423</v>
          </cell>
          <cell r="C304">
            <v>21180</v>
          </cell>
          <cell r="D304">
            <v>1530</v>
          </cell>
          <cell r="E304">
            <v>22710</v>
          </cell>
          <cell r="F304">
            <v>6.7</v>
          </cell>
          <cell r="G304">
            <v>22120</v>
          </cell>
          <cell r="H304">
            <v>20700</v>
          </cell>
          <cell r="I304">
            <v>1420</v>
          </cell>
          <cell r="J304">
            <v>6.4104882459312842</v>
          </cell>
        </row>
        <row r="305">
          <cell r="B305" t="str">
            <v>MC5339424</v>
          </cell>
          <cell r="C305">
            <v>21330</v>
          </cell>
          <cell r="D305">
            <v>1220</v>
          </cell>
          <cell r="E305">
            <v>22550</v>
          </cell>
          <cell r="F305">
            <v>5.4</v>
          </cell>
          <cell r="G305">
            <v>22230</v>
          </cell>
          <cell r="H305">
            <v>20860</v>
          </cell>
          <cell r="I305">
            <v>1370</v>
          </cell>
          <cell r="J305">
            <v>6.1568570111012386</v>
          </cell>
        </row>
        <row r="306">
          <cell r="B306" t="str">
            <v>MC5339425</v>
          </cell>
          <cell r="C306">
            <v>21520</v>
          </cell>
          <cell r="D306">
            <v>1340</v>
          </cell>
          <cell r="E306">
            <v>22860</v>
          </cell>
          <cell r="F306">
            <v>5.9</v>
          </cell>
          <cell r="G306">
            <v>22350</v>
          </cell>
          <cell r="H306">
            <v>20990</v>
          </cell>
          <cell r="I306">
            <v>1360</v>
          </cell>
          <cell r="J306">
            <v>6.0964480629864894</v>
          </cell>
        </row>
        <row r="307">
          <cell r="B307" t="str">
            <v>MC5339426</v>
          </cell>
          <cell r="C307">
            <v>18560</v>
          </cell>
          <cell r="D307">
            <v>1410</v>
          </cell>
          <cell r="E307">
            <v>19970</v>
          </cell>
          <cell r="F307">
            <v>7</v>
          </cell>
          <cell r="G307">
            <v>21960</v>
          </cell>
          <cell r="H307">
            <v>20590</v>
          </cell>
          <cell r="I307">
            <v>1370</v>
          </cell>
          <cell r="J307">
            <v>6.2388510615687069</v>
          </cell>
        </row>
        <row r="308">
          <cell r="B308" t="str">
            <v>MC5339427</v>
          </cell>
          <cell r="C308">
            <v>17870</v>
          </cell>
          <cell r="D308">
            <v>1460</v>
          </cell>
          <cell r="E308">
            <v>19330</v>
          </cell>
          <cell r="F308">
            <v>7.5</v>
          </cell>
          <cell r="G308">
            <v>21580</v>
          </cell>
          <cell r="H308">
            <v>20200</v>
          </cell>
          <cell r="I308">
            <v>1380</v>
          </cell>
          <cell r="J308">
            <v>6.4049778248494071</v>
          </cell>
        </row>
        <row r="309">
          <cell r="B309" t="str">
            <v>MC5339428</v>
          </cell>
          <cell r="C309" t="str">
            <v/>
          </cell>
          <cell r="D309" t="str">
            <v/>
          </cell>
          <cell r="E309" t="e">
            <v>#VALUE!</v>
          </cell>
          <cell r="F309" t="str">
            <v/>
          </cell>
          <cell r="G309" t="str">
            <v/>
          </cell>
          <cell r="H309" t="str">
            <v/>
          </cell>
          <cell r="I309" t="str">
            <v/>
          </cell>
          <cell r="J309" t="str">
            <v/>
          </cell>
        </row>
        <row r="310">
          <cell r="B310" t="str">
            <v>MC5339429</v>
          </cell>
          <cell r="C310" t="str">
            <v/>
          </cell>
          <cell r="D310" t="str">
            <v/>
          </cell>
          <cell r="E310" t="e">
            <v>#VALUE!</v>
          </cell>
          <cell r="F310" t="str">
            <v/>
          </cell>
          <cell r="G310" t="str">
            <v/>
          </cell>
          <cell r="H310" t="str">
            <v/>
          </cell>
          <cell r="I310" t="str">
            <v/>
          </cell>
          <cell r="J310" t="str">
            <v/>
          </cell>
        </row>
        <row r="311">
          <cell r="B311" t="str">
            <v>MC53394210</v>
          </cell>
          <cell r="C311" t="str">
            <v/>
          </cell>
          <cell r="D311" t="str">
            <v/>
          </cell>
          <cell r="E311" t="e">
            <v>#VALUE!</v>
          </cell>
          <cell r="F311" t="str">
            <v/>
          </cell>
          <cell r="G311" t="str">
            <v/>
          </cell>
          <cell r="H311" t="str">
            <v/>
          </cell>
          <cell r="I311" t="str">
            <v/>
          </cell>
          <cell r="J311" t="str">
            <v/>
          </cell>
        </row>
        <row r="312">
          <cell r="B312" t="str">
            <v>MC53394211</v>
          </cell>
          <cell r="C312" t="str">
            <v/>
          </cell>
          <cell r="D312" t="str">
            <v/>
          </cell>
          <cell r="E312" t="e">
            <v>#VALUE!</v>
          </cell>
          <cell r="F312" t="str">
            <v/>
          </cell>
          <cell r="G312" t="str">
            <v/>
          </cell>
          <cell r="H312" t="str">
            <v/>
          </cell>
          <cell r="I312" t="str">
            <v/>
          </cell>
          <cell r="J312" t="str">
            <v/>
          </cell>
        </row>
        <row r="313">
          <cell r="B313" t="str">
            <v>MC53394212</v>
          </cell>
          <cell r="C313" t="str">
            <v/>
          </cell>
          <cell r="D313" t="str">
            <v/>
          </cell>
          <cell r="E313" t="e">
            <v>#VALUE!</v>
          </cell>
          <cell r="F313" t="str">
            <v/>
          </cell>
          <cell r="G313" t="str">
            <v/>
          </cell>
          <cell r="H313" t="str">
            <v/>
          </cell>
          <cell r="I313" t="str">
            <v/>
          </cell>
          <cell r="J313" t="str">
            <v/>
          </cell>
        </row>
        <row r="314">
          <cell r="B314" t="str">
            <v>MC5338821</v>
          </cell>
          <cell r="C314">
            <v>26590</v>
          </cell>
          <cell r="D314">
            <v>3370</v>
          </cell>
          <cell r="E314">
            <v>29960</v>
          </cell>
          <cell r="F314">
            <v>11.3</v>
          </cell>
          <cell r="G314">
            <v>29960</v>
          </cell>
          <cell r="H314">
            <v>26590</v>
          </cell>
          <cell r="I314">
            <v>3370</v>
          </cell>
          <cell r="J314">
            <v>11.3</v>
          </cell>
        </row>
        <row r="315">
          <cell r="B315" t="str">
            <v>MC5338822</v>
          </cell>
          <cell r="C315">
            <v>26680</v>
          </cell>
          <cell r="D315">
            <v>3320</v>
          </cell>
          <cell r="E315">
            <v>30000</v>
          </cell>
          <cell r="F315">
            <v>11.1</v>
          </cell>
          <cell r="G315">
            <v>29990</v>
          </cell>
          <cell r="H315">
            <v>26640</v>
          </cell>
          <cell r="I315">
            <v>3350</v>
          </cell>
          <cell r="J315">
            <v>11.163915290978823</v>
          </cell>
        </row>
        <row r="316">
          <cell r="B316" t="str">
            <v>MC5338823</v>
          </cell>
          <cell r="C316">
            <v>26590</v>
          </cell>
          <cell r="D316">
            <v>3390</v>
          </cell>
          <cell r="E316">
            <v>29980</v>
          </cell>
          <cell r="F316">
            <v>11.3</v>
          </cell>
          <cell r="G316">
            <v>29980</v>
          </cell>
          <cell r="H316">
            <v>26620</v>
          </cell>
          <cell r="I316">
            <v>3360</v>
          </cell>
          <cell r="J316">
            <v>11.20808503068576</v>
          </cell>
        </row>
        <row r="317">
          <cell r="B317" t="str">
            <v>MC5338824</v>
          </cell>
          <cell r="C317">
            <v>26680</v>
          </cell>
          <cell r="D317">
            <v>2980</v>
          </cell>
          <cell r="E317">
            <v>29660</v>
          </cell>
          <cell r="F317">
            <v>10.1</v>
          </cell>
          <cell r="G317">
            <v>29900</v>
          </cell>
          <cell r="H317">
            <v>26640</v>
          </cell>
          <cell r="I317">
            <v>3270</v>
          </cell>
          <cell r="J317">
            <v>10.921966840296648</v>
          </cell>
        </row>
        <row r="318">
          <cell r="B318" t="str">
            <v>MC5338825</v>
          </cell>
          <cell r="C318">
            <v>26990</v>
          </cell>
          <cell r="D318">
            <v>2960</v>
          </cell>
          <cell r="E318">
            <v>29950</v>
          </cell>
          <cell r="F318">
            <v>9.9</v>
          </cell>
          <cell r="G318">
            <v>29910</v>
          </cell>
          <cell r="H318">
            <v>26710</v>
          </cell>
          <cell r="I318">
            <v>3200</v>
          </cell>
          <cell r="J318">
            <v>10.71438123512263</v>
          </cell>
        </row>
        <row r="319">
          <cell r="B319" t="str">
            <v>MC5338826</v>
          </cell>
          <cell r="C319">
            <v>26480</v>
          </cell>
          <cell r="D319">
            <v>2960</v>
          </cell>
          <cell r="E319">
            <v>29440</v>
          </cell>
          <cell r="F319">
            <v>10.1</v>
          </cell>
          <cell r="G319">
            <v>29830</v>
          </cell>
          <cell r="H319">
            <v>26670</v>
          </cell>
          <cell r="I319">
            <v>3160</v>
          </cell>
          <cell r="J319">
            <v>10.607262569832402</v>
          </cell>
        </row>
        <row r="320">
          <cell r="B320" t="str">
            <v>MC5338827</v>
          </cell>
          <cell r="C320">
            <v>26260</v>
          </cell>
          <cell r="D320">
            <v>2840</v>
          </cell>
          <cell r="E320">
            <v>29100</v>
          </cell>
          <cell r="F320">
            <v>9.8000000000000007</v>
          </cell>
          <cell r="G320">
            <v>29730</v>
          </cell>
          <cell r="H320">
            <v>26610</v>
          </cell>
          <cell r="I320">
            <v>3120</v>
          </cell>
          <cell r="J320">
            <v>10.488808157694933</v>
          </cell>
        </row>
        <row r="321">
          <cell r="B321" t="str">
            <v>MC5338828</v>
          </cell>
          <cell r="C321" t="str">
            <v/>
          </cell>
          <cell r="D321" t="str">
            <v/>
          </cell>
          <cell r="E321" t="e">
            <v>#VALUE!</v>
          </cell>
          <cell r="F321" t="str">
            <v/>
          </cell>
          <cell r="G321" t="str">
            <v/>
          </cell>
          <cell r="H321" t="str">
            <v/>
          </cell>
          <cell r="I321" t="str">
            <v/>
          </cell>
          <cell r="J321" t="str">
            <v/>
          </cell>
        </row>
        <row r="322">
          <cell r="B322" t="str">
            <v>MC5338829</v>
          </cell>
          <cell r="C322" t="str">
            <v/>
          </cell>
          <cell r="D322" t="str">
            <v/>
          </cell>
          <cell r="E322" t="e">
            <v>#VALUE!</v>
          </cell>
          <cell r="F322" t="str">
            <v/>
          </cell>
          <cell r="G322" t="str">
            <v/>
          </cell>
          <cell r="H322" t="str">
            <v/>
          </cell>
          <cell r="I322" t="str">
            <v/>
          </cell>
          <cell r="J322" t="str">
            <v/>
          </cell>
        </row>
        <row r="323">
          <cell r="B323" t="str">
            <v>MC53388210</v>
          </cell>
          <cell r="C323" t="str">
            <v/>
          </cell>
          <cell r="D323" t="str">
            <v/>
          </cell>
          <cell r="E323" t="e">
            <v>#VALUE!</v>
          </cell>
          <cell r="F323" t="str">
            <v/>
          </cell>
          <cell r="G323" t="str">
            <v/>
          </cell>
          <cell r="H323" t="str">
            <v/>
          </cell>
          <cell r="I323" t="str">
            <v/>
          </cell>
          <cell r="J323" t="str">
            <v/>
          </cell>
        </row>
        <row r="324">
          <cell r="B324" t="str">
            <v>MC53388211</v>
          </cell>
          <cell r="C324" t="str">
            <v/>
          </cell>
          <cell r="D324" t="str">
            <v/>
          </cell>
          <cell r="E324" t="e">
            <v>#VALUE!</v>
          </cell>
          <cell r="F324" t="str">
            <v/>
          </cell>
          <cell r="G324" t="str">
            <v/>
          </cell>
          <cell r="H324" t="str">
            <v/>
          </cell>
          <cell r="I324" t="str">
            <v/>
          </cell>
          <cell r="J324" t="str">
            <v/>
          </cell>
        </row>
        <row r="325">
          <cell r="B325" t="str">
            <v>MC53388212</v>
          </cell>
          <cell r="C325" t="str">
            <v/>
          </cell>
          <cell r="D325" t="str">
            <v/>
          </cell>
          <cell r="E325" t="e">
            <v>#VALUE!</v>
          </cell>
          <cell r="F325" t="str">
            <v/>
          </cell>
          <cell r="G325" t="str">
            <v/>
          </cell>
          <cell r="H325" t="str">
            <v/>
          </cell>
          <cell r="I325" t="str">
            <v/>
          </cell>
          <cell r="J325" t="str">
            <v/>
          </cell>
        </row>
        <row r="326">
          <cell r="B326" t="str">
            <v>MC5336021</v>
          </cell>
          <cell r="C326">
            <v>29520</v>
          </cell>
          <cell r="D326">
            <v>3120</v>
          </cell>
          <cell r="E326">
            <v>32640</v>
          </cell>
          <cell r="F326">
            <v>9.5</v>
          </cell>
          <cell r="G326">
            <v>32630</v>
          </cell>
          <cell r="H326">
            <v>29520</v>
          </cell>
          <cell r="I326">
            <v>3120</v>
          </cell>
          <cell r="J326">
            <v>9.5</v>
          </cell>
        </row>
        <row r="327">
          <cell r="B327" t="str">
            <v>MC5336022</v>
          </cell>
          <cell r="C327">
            <v>29470</v>
          </cell>
          <cell r="D327">
            <v>3170</v>
          </cell>
          <cell r="E327">
            <v>32640</v>
          </cell>
          <cell r="F327">
            <v>9.6999999999999993</v>
          </cell>
          <cell r="G327">
            <v>32630</v>
          </cell>
          <cell r="H327">
            <v>29490</v>
          </cell>
          <cell r="I327">
            <v>3140</v>
          </cell>
          <cell r="J327">
            <v>9.6279953422810571</v>
          </cell>
        </row>
        <row r="328">
          <cell r="B328" t="str">
            <v>MC5336023</v>
          </cell>
          <cell r="C328">
            <v>29600</v>
          </cell>
          <cell r="D328">
            <v>3280</v>
          </cell>
          <cell r="E328">
            <v>32880</v>
          </cell>
          <cell r="F328">
            <v>10</v>
          </cell>
          <cell r="G328">
            <v>32710</v>
          </cell>
          <cell r="H328">
            <v>29530</v>
          </cell>
          <cell r="I328">
            <v>3190</v>
          </cell>
          <cell r="J328">
            <v>9.7397701336811213</v>
          </cell>
        </row>
        <row r="329">
          <cell r="B329" t="str">
            <v>MC5336024</v>
          </cell>
          <cell r="C329">
            <v>29390</v>
          </cell>
          <cell r="D329">
            <v>2900</v>
          </cell>
          <cell r="E329">
            <v>32290</v>
          </cell>
          <cell r="F329">
            <v>9</v>
          </cell>
          <cell r="G329">
            <v>32610</v>
          </cell>
          <cell r="H329">
            <v>29490</v>
          </cell>
          <cell r="I329">
            <v>3120</v>
          </cell>
          <cell r="J329">
            <v>9.5531244489761491</v>
          </cell>
        </row>
        <row r="330">
          <cell r="B330" t="str">
            <v>MC5336025</v>
          </cell>
          <cell r="C330">
            <v>29820</v>
          </cell>
          <cell r="D330">
            <v>2940</v>
          </cell>
          <cell r="E330">
            <v>32760</v>
          </cell>
          <cell r="F330">
            <v>9</v>
          </cell>
          <cell r="G330">
            <v>32640</v>
          </cell>
          <cell r="H330">
            <v>29560</v>
          </cell>
          <cell r="I330">
            <v>3080</v>
          </cell>
          <cell r="J330">
            <v>9.4355115446835622</v>
          </cell>
        </row>
        <row r="331">
          <cell r="B331" t="str">
            <v>MC5336026</v>
          </cell>
          <cell r="C331">
            <v>29120</v>
          </cell>
          <cell r="D331">
            <v>3030</v>
          </cell>
          <cell r="E331">
            <v>32150</v>
          </cell>
          <cell r="F331">
            <v>9.4</v>
          </cell>
          <cell r="G331">
            <v>32560</v>
          </cell>
          <cell r="H331">
            <v>29490</v>
          </cell>
          <cell r="I331">
            <v>3070</v>
          </cell>
          <cell r="J331">
            <v>9.4357588229873759</v>
          </cell>
        </row>
        <row r="332">
          <cell r="B332" t="str">
            <v>MC5336027</v>
          </cell>
          <cell r="C332">
            <v>28470</v>
          </cell>
          <cell r="D332">
            <v>2880</v>
          </cell>
          <cell r="E332">
            <v>31350</v>
          </cell>
          <cell r="F332">
            <v>9.1999999999999993</v>
          </cell>
          <cell r="G332">
            <v>32390</v>
          </cell>
          <cell r="H332">
            <v>29340</v>
          </cell>
          <cell r="I332">
            <v>3040</v>
          </cell>
          <cell r="J332">
            <v>9.4011777939522254</v>
          </cell>
        </row>
        <row r="333">
          <cell r="B333" t="str">
            <v>MC5336028</v>
          </cell>
          <cell r="C333" t="str">
            <v/>
          </cell>
          <cell r="D333" t="str">
            <v/>
          </cell>
          <cell r="E333" t="e">
            <v>#VALUE!</v>
          </cell>
          <cell r="F333" t="str">
            <v/>
          </cell>
          <cell r="G333" t="str">
            <v/>
          </cell>
          <cell r="H333" t="str">
            <v/>
          </cell>
          <cell r="I333" t="str">
            <v/>
          </cell>
          <cell r="J333" t="str">
            <v/>
          </cell>
        </row>
        <row r="334">
          <cell r="B334" t="str">
            <v>MC5336029</v>
          </cell>
          <cell r="C334" t="str">
            <v/>
          </cell>
          <cell r="D334" t="str">
            <v/>
          </cell>
          <cell r="E334" t="e">
            <v>#VALUE!</v>
          </cell>
          <cell r="F334" t="str">
            <v/>
          </cell>
          <cell r="G334" t="str">
            <v/>
          </cell>
          <cell r="H334" t="str">
            <v/>
          </cell>
          <cell r="I334" t="str">
            <v/>
          </cell>
          <cell r="J334" t="str">
            <v/>
          </cell>
        </row>
        <row r="335">
          <cell r="B335" t="str">
            <v>MC53360210</v>
          </cell>
          <cell r="C335" t="str">
            <v/>
          </cell>
          <cell r="D335" t="str">
            <v/>
          </cell>
          <cell r="E335" t="e">
            <v>#VALUE!</v>
          </cell>
          <cell r="F335" t="str">
            <v/>
          </cell>
          <cell r="G335" t="str">
            <v/>
          </cell>
          <cell r="H335" t="str">
            <v/>
          </cell>
          <cell r="I335" t="str">
            <v/>
          </cell>
          <cell r="J335" t="str">
            <v/>
          </cell>
        </row>
        <row r="336">
          <cell r="B336" t="str">
            <v>MC53360211</v>
          </cell>
          <cell r="C336" t="str">
            <v/>
          </cell>
          <cell r="D336" t="str">
            <v/>
          </cell>
          <cell r="E336" t="e">
            <v>#VALUE!</v>
          </cell>
          <cell r="F336" t="str">
            <v/>
          </cell>
          <cell r="G336" t="str">
            <v/>
          </cell>
          <cell r="H336" t="str">
            <v/>
          </cell>
          <cell r="I336" t="str">
            <v/>
          </cell>
          <cell r="J336" t="str">
            <v/>
          </cell>
        </row>
        <row r="337">
          <cell r="B337" t="str">
            <v>MC53360212</v>
          </cell>
          <cell r="C337" t="str">
            <v/>
          </cell>
          <cell r="D337" t="str">
            <v/>
          </cell>
          <cell r="E337" t="e">
            <v>#VALUE!</v>
          </cell>
          <cell r="F337" t="str">
            <v/>
          </cell>
          <cell r="G337" t="str">
            <v/>
          </cell>
          <cell r="H337" t="str">
            <v/>
          </cell>
          <cell r="I337" t="str">
            <v/>
          </cell>
          <cell r="J337" t="str">
            <v/>
          </cell>
        </row>
        <row r="338">
          <cell r="B338" t="str">
            <v>MC5334181</v>
          </cell>
          <cell r="C338">
            <v>34410</v>
          </cell>
          <cell r="D338">
            <v>5120</v>
          </cell>
          <cell r="E338">
            <v>39530</v>
          </cell>
          <cell r="F338">
            <v>12.9</v>
          </cell>
          <cell r="G338">
            <v>39520</v>
          </cell>
          <cell r="H338">
            <v>34410</v>
          </cell>
          <cell r="I338">
            <v>5120</v>
          </cell>
          <cell r="J338">
            <v>12.9</v>
          </cell>
        </row>
        <row r="339">
          <cell r="B339" t="str">
            <v>MC5334182</v>
          </cell>
          <cell r="C339">
            <v>34680</v>
          </cell>
          <cell r="D339">
            <v>4830</v>
          </cell>
          <cell r="E339">
            <v>39510</v>
          </cell>
          <cell r="F339">
            <v>12.2</v>
          </cell>
          <cell r="G339">
            <v>39520</v>
          </cell>
          <cell r="H339">
            <v>34550</v>
          </cell>
          <cell r="I339">
            <v>4970</v>
          </cell>
          <cell r="J339">
            <v>12.581608380990941</v>
          </cell>
        </row>
        <row r="340">
          <cell r="B340" t="str">
            <v>MC5334183</v>
          </cell>
          <cell r="C340">
            <v>35220</v>
          </cell>
          <cell r="D340">
            <v>4630</v>
          </cell>
          <cell r="E340">
            <v>39850</v>
          </cell>
          <cell r="F340">
            <v>11.6</v>
          </cell>
          <cell r="G340">
            <v>39630</v>
          </cell>
          <cell r="H340">
            <v>34770</v>
          </cell>
          <cell r="I340">
            <v>4860</v>
          </cell>
          <cell r="J340">
            <v>12.257326469499679</v>
          </cell>
        </row>
        <row r="341">
          <cell r="B341" t="str">
            <v>MC5334184</v>
          </cell>
          <cell r="C341">
            <v>37370</v>
          </cell>
          <cell r="D341">
            <v>3930</v>
          </cell>
          <cell r="E341">
            <v>41300</v>
          </cell>
          <cell r="F341">
            <v>9.5</v>
          </cell>
          <cell r="G341">
            <v>40050</v>
          </cell>
          <cell r="H341">
            <v>35420</v>
          </cell>
          <cell r="I341">
            <v>4620</v>
          </cell>
          <cell r="J341">
            <v>11.547417641073023</v>
          </cell>
        </row>
        <row r="342">
          <cell r="B342" t="str">
            <v>MC5334185</v>
          </cell>
          <cell r="C342">
            <v>38020</v>
          </cell>
          <cell r="D342">
            <v>3980</v>
          </cell>
          <cell r="E342">
            <v>42000</v>
          </cell>
          <cell r="F342">
            <v>9.5</v>
          </cell>
          <cell r="G342">
            <v>40440</v>
          </cell>
          <cell r="H342">
            <v>35940</v>
          </cell>
          <cell r="I342">
            <v>4500</v>
          </cell>
          <cell r="J342">
            <v>11.118255424594794</v>
          </cell>
        </row>
        <row r="343">
          <cell r="B343" t="str">
            <v>MC5334186</v>
          </cell>
          <cell r="C343">
            <v>40440</v>
          </cell>
          <cell r="D343">
            <v>3950</v>
          </cell>
          <cell r="E343">
            <v>44390</v>
          </cell>
          <cell r="F343">
            <v>8.9</v>
          </cell>
          <cell r="G343">
            <v>41100</v>
          </cell>
          <cell r="H343">
            <v>36690</v>
          </cell>
          <cell r="I343">
            <v>4400</v>
          </cell>
          <cell r="J343">
            <v>10.717356390831075</v>
          </cell>
        </row>
        <row r="344">
          <cell r="B344" t="str">
            <v>MC5334187</v>
          </cell>
          <cell r="C344">
            <v>41380</v>
          </cell>
          <cell r="D344">
            <v>3850</v>
          </cell>
          <cell r="E344">
            <v>45230</v>
          </cell>
          <cell r="F344">
            <v>8.5</v>
          </cell>
          <cell r="G344">
            <v>41690</v>
          </cell>
          <cell r="H344">
            <v>37360</v>
          </cell>
          <cell r="I344">
            <v>4320</v>
          </cell>
          <cell r="J344">
            <v>10.374028430821532</v>
          </cell>
        </row>
        <row r="345">
          <cell r="B345" t="str">
            <v>MC5334188</v>
          </cell>
          <cell r="C345" t="str">
            <v/>
          </cell>
          <cell r="D345" t="str">
            <v/>
          </cell>
          <cell r="E345" t="e">
            <v>#VALUE!</v>
          </cell>
          <cell r="F345" t="str">
            <v/>
          </cell>
          <cell r="G345" t="str">
            <v/>
          </cell>
          <cell r="H345" t="str">
            <v/>
          </cell>
          <cell r="I345" t="str">
            <v/>
          </cell>
          <cell r="J345" t="str">
            <v/>
          </cell>
        </row>
        <row r="346">
          <cell r="B346" t="str">
            <v>MC5334189</v>
          </cell>
          <cell r="C346" t="str">
            <v/>
          </cell>
          <cell r="D346" t="str">
            <v/>
          </cell>
          <cell r="E346" t="e">
            <v>#VALUE!</v>
          </cell>
          <cell r="F346" t="str">
            <v/>
          </cell>
          <cell r="G346" t="str">
            <v/>
          </cell>
          <cell r="H346" t="str">
            <v/>
          </cell>
          <cell r="I346" t="str">
            <v/>
          </cell>
          <cell r="J346" t="str">
            <v/>
          </cell>
        </row>
        <row r="347">
          <cell r="B347" t="str">
            <v>MC53341810</v>
          </cell>
          <cell r="C347" t="str">
            <v/>
          </cell>
          <cell r="D347" t="str">
            <v/>
          </cell>
          <cell r="E347" t="e">
            <v>#VALUE!</v>
          </cell>
          <cell r="F347" t="str">
            <v/>
          </cell>
          <cell r="G347" t="str">
            <v/>
          </cell>
          <cell r="H347" t="str">
            <v/>
          </cell>
          <cell r="I347" t="str">
            <v/>
          </cell>
          <cell r="J347" t="str">
            <v/>
          </cell>
        </row>
        <row r="348">
          <cell r="B348" t="str">
            <v>MC53341811</v>
          </cell>
          <cell r="C348" t="str">
            <v/>
          </cell>
          <cell r="D348" t="str">
            <v/>
          </cell>
          <cell r="E348" t="e">
            <v>#VALUE!</v>
          </cell>
          <cell r="F348" t="str">
            <v/>
          </cell>
          <cell r="G348" t="str">
            <v/>
          </cell>
          <cell r="H348" t="str">
            <v/>
          </cell>
          <cell r="I348" t="str">
            <v/>
          </cell>
          <cell r="J348" t="str">
            <v/>
          </cell>
        </row>
        <row r="349">
          <cell r="B349" t="str">
            <v>MC53341812</v>
          </cell>
          <cell r="C349" t="str">
            <v/>
          </cell>
          <cell r="D349" t="str">
            <v/>
          </cell>
          <cell r="E349" t="e">
            <v>#VALUE!</v>
          </cell>
          <cell r="F349" t="str">
            <v/>
          </cell>
          <cell r="G349" t="str">
            <v/>
          </cell>
          <cell r="H349" t="str">
            <v/>
          </cell>
          <cell r="I349" t="str">
            <v/>
          </cell>
          <cell r="J349" t="str">
            <v/>
          </cell>
        </row>
        <row r="350">
          <cell r="B350" t="str">
            <v>MC5321261</v>
          </cell>
          <cell r="C350">
            <v>19180</v>
          </cell>
          <cell r="D350">
            <v>2100</v>
          </cell>
          <cell r="E350">
            <v>21280</v>
          </cell>
          <cell r="F350">
            <v>9.9</v>
          </cell>
          <cell r="G350">
            <v>21280</v>
          </cell>
          <cell r="H350">
            <v>19180</v>
          </cell>
          <cell r="I350">
            <v>2100</v>
          </cell>
          <cell r="J350">
            <v>9.9</v>
          </cell>
        </row>
        <row r="351">
          <cell r="B351" t="str">
            <v>MC5321262</v>
          </cell>
          <cell r="C351">
            <v>19320</v>
          </cell>
          <cell r="D351">
            <v>2080</v>
          </cell>
          <cell r="E351">
            <v>21400</v>
          </cell>
          <cell r="F351">
            <v>9.6999999999999993</v>
          </cell>
          <cell r="G351">
            <v>21340</v>
          </cell>
          <cell r="H351">
            <v>19250</v>
          </cell>
          <cell r="I351">
            <v>2090</v>
          </cell>
          <cell r="J351">
            <v>9.7860473835914981</v>
          </cell>
        </row>
        <row r="352">
          <cell r="B352" t="str">
            <v>MC5321263</v>
          </cell>
          <cell r="C352">
            <v>19560</v>
          </cell>
          <cell r="D352">
            <v>2100</v>
          </cell>
          <cell r="E352">
            <v>21660</v>
          </cell>
          <cell r="F352">
            <v>9.6999999999999993</v>
          </cell>
          <cell r="G352">
            <v>21440</v>
          </cell>
          <cell r="H352">
            <v>19350</v>
          </cell>
          <cell r="I352">
            <v>2090</v>
          </cell>
          <cell r="J352">
            <v>9.7486281032847799</v>
          </cell>
        </row>
        <row r="353">
          <cell r="B353" t="str">
            <v>MC5321264</v>
          </cell>
          <cell r="C353">
            <v>20330</v>
          </cell>
          <cell r="D353">
            <v>1800</v>
          </cell>
          <cell r="E353">
            <v>22130</v>
          </cell>
          <cell r="F353">
            <v>8.1</v>
          </cell>
          <cell r="G353">
            <v>21610</v>
          </cell>
          <cell r="H353">
            <v>19600</v>
          </cell>
          <cell r="I353">
            <v>2020</v>
          </cell>
          <cell r="J353">
            <v>9.3319144998612007</v>
          </cell>
        </row>
        <row r="354">
          <cell r="B354" t="str">
            <v>MC5321265</v>
          </cell>
          <cell r="C354">
            <v>19990</v>
          </cell>
          <cell r="D354">
            <v>1780</v>
          </cell>
          <cell r="E354">
            <v>21770</v>
          </cell>
          <cell r="F354">
            <v>8.1999999999999993</v>
          </cell>
          <cell r="G354">
            <v>21640</v>
          </cell>
          <cell r="H354">
            <v>19670</v>
          </cell>
          <cell r="I354">
            <v>1970</v>
          </cell>
          <cell r="J354">
            <v>9.0973775157552357</v>
          </cell>
        </row>
        <row r="355">
          <cell r="B355" t="str">
            <v>MC5321266</v>
          </cell>
          <cell r="C355">
            <v>20190</v>
          </cell>
          <cell r="D355">
            <v>1780</v>
          </cell>
          <cell r="E355">
            <v>21970</v>
          </cell>
          <cell r="F355">
            <v>8.1</v>
          </cell>
          <cell r="G355">
            <v>21700</v>
          </cell>
          <cell r="H355">
            <v>19760</v>
          </cell>
          <cell r="I355">
            <v>1940</v>
          </cell>
          <cell r="J355">
            <v>8.9282696532546755</v>
          </cell>
        </row>
        <row r="356">
          <cell r="B356" t="str">
            <v>MC5321267</v>
          </cell>
          <cell r="C356">
            <v>18560</v>
          </cell>
          <cell r="D356">
            <v>1740</v>
          </cell>
          <cell r="E356">
            <v>20300</v>
          </cell>
          <cell r="F356">
            <v>8.6</v>
          </cell>
          <cell r="G356">
            <v>21500</v>
          </cell>
          <cell r="H356">
            <v>19590</v>
          </cell>
          <cell r="I356">
            <v>1910</v>
          </cell>
          <cell r="J356">
            <v>8.8811658149873409</v>
          </cell>
        </row>
        <row r="357">
          <cell r="B357" t="str">
            <v>MC5321268</v>
          </cell>
          <cell r="C357" t="str">
            <v/>
          </cell>
          <cell r="D357" t="str">
            <v/>
          </cell>
          <cell r="E357" t="e">
            <v>#VALUE!</v>
          </cell>
          <cell r="F357" t="str">
            <v/>
          </cell>
          <cell r="G357" t="str">
            <v/>
          </cell>
          <cell r="H357" t="str">
            <v/>
          </cell>
          <cell r="I357" t="str">
            <v/>
          </cell>
          <cell r="J357" t="str">
            <v/>
          </cell>
        </row>
        <row r="358">
          <cell r="B358" t="str">
            <v>MC5321269</v>
          </cell>
          <cell r="C358" t="str">
            <v/>
          </cell>
          <cell r="D358" t="str">
            <v/>
          </cell>
          <cell r="E358" t="e">
            <v>#VALUE!</v>
          </cell>
          <cell r="F358" t="str">
            <v/>
          </cell>
          <cell r="G358" t="str">
            <v/>
          </cell>
          <cell r="H358" t="str">
            <v/>
          </cell>
          <cell r="I358" t="str">
            <v/>
          </cell>
          <cell r="J358" t="str">
            <v/>
          </cell>
        </row>
        <row r="359">
          <cell r="B359" t="str">
            <v>MC53212610</v>
          </cell>
          <cell r="C359" t="str">
            <v/>
          </cell>
          <cell r="D359" t="str">
            <v/>
          </cell>
          <cell r="E359" t="e">
            <v>#VALUE!</v>
          </cell>
          <cell r="F359" t="str">
            <v/>
          </cell>
          <cell r="G359" t="str">
            <v/>
          </cell>
          <cell r="H359" t="str">
            <v/>
          </cell>
          <cell r="I359" t="str">
            <v/>
          </cell>
          <cell r="J359" t="str">
            <v/>
          </cell>
        </row>
        <row r="360">
          <cell r="B360" t="str">
            <v>MC53212611</v>
          </cell>
          <cell r="C360" t="str">
            <v/>
          </cell>
          <cell r="D360" t="str">
            <v/>
          </cell>
          <cell r="E360" t="e">
            <v>#VALUE!</v>
          </cell>
          <cell r="F360" t="str">
            <v/>
          </cell>
          <cell r="G360" t="str">
            <v/>
          </cell>
          <cell r="H360" t="str">
            <v/>
          </cell>
          <cell r="I360" t="str">
            <v/>
          </cell>
          <cell r="J360" t="str">
            <v/>
          </cell>
        </row>
        <row r="361">
          <cell r="B361" t="str">
            <v>MC53212612</v>
          </cell>
          <cell r="C361" t="str">
            <v/>
          </cell>
          <cell r="D361" t="str">
            <v/>
          </cell>
          <cell r="E361" t="e">
            <v>#VALUE!</v>
          </cell>
          <cell r="F361" t="str">
            <v/>
          </cell>
          <cell r="G361" t="str">
            <v/>
          </cell>
          <cell r="H361" t="str">
            <v/>
          </cell>
          <cell r="I361" t="str">
            <v/>
          </cell>
          <cell r="J361" t="str">
            <v/>
          </cell>
        </row>
        <row r="362">
          <cell r="B362" t="str">
            <v>MC5316501</v>
          </cell>
          <cell r="C362">
            <v>26230</v>
          </cell>
          <cell r="D362">
            <v>4450</v>
          </cell>
          <cell r="E362">
            <v>30680</v>
          </cell>
          <cell r="F362">
            <v>14.5</v>
          </cell>
          <cell r="G362">
            <v>30680</v>
          </cell>
          <cell r="H362">
            <v>26230</v>
          </cell>
          <cell r="I362">
            <v>4450</v>
          </cell>
          <cell r="J362">
            <v>14.5</v>
          </cell>
        </row>
        <row r="363">
          <cell r="B363" t="str">
            <v>MC5316502</v>
          </cell>
          <cell r="C363">
            <v>26400</v>
          </cell>
          <cell r="D363">
            <v>4400</v>
          </cell>
          <cell r="E363">
            <v>30800</v>
          </cell>
          <cell r="F363">
            <v>14.3</v>
          </cell>
          <cell r="G363">
            <v>30740</v>
          </cell>
          <cell r="H363">
            <v>26320</v>
          </cell>
          <cell r="I363">
            <v>4430</v>
          </cell>
          <cell r="J363">
            <v>14.399102190849502</v>
          </cell>
        </row>
        <row r="364">
          <cell r="B364" t="str">
            <v>MC5316503</v>
          </cell>
          <cell r="C364">
            <v>26540</v>
          </cell>
          <cell r="D364">
            <v>4460</v>
          </cell>
          <cell r="E364">
            <v>31000</v>
          </cell>
          <cell r="F364">
            <v>14.4</v>
          </cell>
          <cell r="G364">
            <v>30830</v>
          </cell>
          <cell r="H364">
            <v>26390</v>
          </cell>
          <cell r="I364">
            <v>4440</v>
          </cell>
          <cell r="J364">
            <v>14.39955883307022</v>
          </cell>
        </row>
        <row r="365">
          <cell r="B365" t="str">
            <v>MC5316504</v>
          </cell>
          <cell r="C365">
            <v>26800</v>
          </cell>
          <cell r="D365">
            <v>4000</v>
          </cell>
          <cell r="E365">
            <v>30800</v>
          </cell>
          <cell r="F365">
            <v>13</v>
          </cell>
          <cell r="G365">
            <v>30820</v>
          </cell>
          <cell r="H365">
            <v>26490</v>
          </cell>
          <cell r="I365">
            <v>4330</v>
          </cell>
          <cell r="J365">
            <v>14.046315447945817</v>
          </cell>
        </row>
        <row r="366">
          <cell r="B366" t="str">
            <v>MC5316505</v>
          </cell>
          <cell r="C366">
            <v>26880</v>
          </cell>
          <cell r="D366">
            <v>3880</v>
          </cell>
          <cell r="E366">
            <v>30760</v>
          </cell>
          <cell r="F366">
            <v>12.6</v>
          </cell>
          <cell r="G366">
            <v>30810</v>
          </cell>
          <cell r="H366">
            <v>26570</v>
          </cell>
          <cell r="I366">
            <v>4240</v>
          </cell>
          <cell r="J366">
            <v>13.761116520610193</v>
          </cell>
        </row>
        <row r="367">
          <cell r="B367" t="str">
            <v>MC5316506</v>
          </cell>
          <cell r="C367">
            <v>26240</v>
          </cell>
          <cell r="D367">
            <v>3860</v>
          </cell>
          <cell r="E367">
            <v>30100</v>
          </cell>
          <cell r="F367">
            <v>12.8</v>
          </cell>
          <cell r="G367">
            <v>30690</v>
          </cell>
          <cell r="H367">
            <v>26510</v>
          </cell>
          <cell r="I367">
            <v>4180</v>
          </cell>
          <cell r="J367">
            <v>13.607137814560186</v>
          </cell>
        </row>
        <row r="368">
          <cell r="B368" t="str">
            <v>MC5316507</v>
          </cell>
          <cell r="C368">
            <v>25900</v>
          </cell>
          <cell r="D368">
            <v>3750</v>
          </cell>
          <cell r="E368">
            <v>29650</v>
          </cell>
          <cell r="F368">
            <v>12.7</v>
          </cell>
          <cell r="G368">
            <v>30540</v>
          </cell>
          <cell r="H368">
            <v>26430</v>
          </cell>
          <cell r="I368">
            <v>4120</v>
          </cell>
          <cell r="J368">
            <v>13.474716197443323</v>
          </cell>
        </row>
        <row r="369">
          <cell r="B369" t="str">
            <v>MC5316508</v>
          </cell>
          <cell r="C369" t="str">
            <v/>
          </cell>
          <cell r="D369" t="str">
            <v/>
          </cell>
          <cell r="E369" t="e">
            <v>#VALUE!</v>
          </cell>
          <cell r="F369" t="str">
            <v/>
          </cell>
          <cell r="G369" t="str">
            <v/>
          </cell>
          <cell r="H369" t="str">
            <v/>
          </cell>
          <cell r="I369" t="str">
            <v/>
          </cell>
          <cell r="J369" t="str">
            <v/>
          </cell>
        </row>
        <row r="370">
          <cell r="B370" t="str">
            <v>MC5316509</v>
          </cell>
          <cell r="C370" t="str">
            <v/>
          </cell>
          <cell r="D370" t="str">
            <v/>
          </cell>
          <cell r="E370" t="e">
            <v>#VALUE!</v>
          </cell>
          <cell r="F370" t="str">
            <v/>
          </cell>
          <cell r="G370" t="str">
            <v/>
          </cell>
          <cell r="H370" t="str">
            <v/>
          </cell>
          <cell r="I370" t="str">
            <v/>
          </cell>
          <cell r="J370" t="str">
            <v/>
          </cell>
        </row>
        <row r="371">
          <cell r="B371" t="str">
            <v>MC53165010</v>
          </cell>
          <cell r="C371" t="str">
            <v/>
          </cell>
          <cell r="D371" t="str">
            <v/>
          </cell>
          <cell r="E371" t="e">
            <v>#VALUE!</v>
          </cell>
          <cell r="F371" t="str">
            <v/>
          </cell>
          <cell r="G371" t="str">
            <v/>
          </cell>
          <cell r="H371" t="str">
            <v/>
          </cell>
          <cell r="I371" t="str">
            <v/>
          </cell>
          <cell r="J371" t="str">
            <v/>
          </cell>
        </row>
        <row r="372">
          <cell r="B372" t="str">
            <v>MC53165011</v>
          </cell>
          <cell r="C372" t="str">
            <v/>
          </cell>
          <cell r="D372" t="str">
            <v/>
          </cell>
          <cell r="E372" t="e">
            <v>#VALUE!</v>
          </cell>
          <cell r="F372" t="str">
            <v/>
          </cell>
          <cell r="G372" t="str">
            <v/>
          </cell>
          <cell r="H372" t="str">
            <v/>
          </cell>
          <cell r="I372" t="str">
            <v/>
          </cell>
          <cell r="J372" t="str">
            <v/>
          </cell>
        </row>
        <row r="373">
          <cell r="B373" t="str">
            <v>MC53165012</v>
          </cell>
          <cell r="C373" t="str">
            <v/>
          </cell>
          <cell r="D373" t="str">
            <v/>
          </cell>
          <cell r="E373" t="e">
            <v>#VALUE!</v>
          </cell>
          <cell r="F373" t="str">
            <v/>
          </cell>
          <cell r="G373" t="str">
            <v/>
          </cell>
          <cell r="H373" t="str">
            <v/>
          </cell>
          <cell r="I373" t="str">
            <v/>
          </cell>
          <cell r="J373" t="str">
            <v/>
          </cell>
        </row>
        <row r="374">
          <cell r="B374" t="str">
            <v>MC5310141</v>
          </cell>
          <cell r="C374">
            <v>25710</v>
          </cell>
          <cell r="D374">
            <v>4220</v>
          </cell>
          <cell r="E374">
            <v>29930</v>
          </cell>
          <cell r="F374">
            <v>14.1</v>
          </cell>
          <cell r="G374">
            <v>29930</v>
          </cell>
          <cell r="H374">
            <v>25710</v>
          </cell>
          <cell r="I374">
            <v>4220</v>
          </cell>
          <cell r="J374">
            <v>14.1</v>
          </cell>
        </row>
        <row r="375">
          <cell r="B375" t="str">
            <v>MC5310142</v>
          </cell>
          <cell r="C375">
            <v>25710</v>
          </cell>
          <cell r="D375">
            <v>4160</v>
          </cell>
          <cell r="E375">
            <v>29870</v>
          </cell>
          <cell r="F375">
            <v>13.9</v>
          </cell>
          <cell r="G375">
            <v>29900</v>
          </cell>
          <cell r="H375">
            <v>25710</v>
          </cell>
          <cell r="I375">
            <v>4190</v>
          </cell>
          <cell r="J375">
            <v>14.01598769148438</v>
          </cell>
        </row>
        <row r="376">
          <cell r="B376" t="str">
            <v>MC5310143</v>
          </cell>
          <cell r="C376">
            <v>25520</v>
          </cell>
          <cell r="D376">
            <v>4240</v>
          </cell>
          <cell r="E376">
            <v>29760</v>
          </cell>
          <cell r="F376">
            <v>14.2</v>
          </cell>
          <cell r="G376">
            <v>29850</v>
          </cell>
          <cell r="H376">
            <v>25650</v>
          </cell>
          <cell r="I376">
            <v>4210</v>
          </cell>
          <cell r="J376">
            <v>14.091269442490425</v>
          </cell>
        </row>
        <row r="377">
          <cell r="B377" t="str">
            <v>MC5310144</v>
          </cell>
          <cell r="C377">
            <v>25590</v>
          </cell>
          <cell r="D377">
            <v>3760</v>
          </cell>
          <cell r="E377">
            <v>29350</v>
          </cell>
          <cell r="F377">
            <v>12.8</v>
          </cell>
          <cell r="G377">
            <v>29730</v>
          </cell>
          <cell r="H377">
            <v>25630</v>
          </cell>
          <cell r="I377">
            <v>4090</v>
          </cell>
          <cell r="J377">
            <v>13.772570919152585</v>
          </cell>
        </row>
        <row r="378">
          <cell r="B378" t="str">
            <v>MC5310145</v>
          </cell>
          <cell r="C378">
            <v>25750</v>
          </cell>
          <cell r="D378">
            <v>3790</v>
          </cell>
          <cell r="E378">
            <v>29540</v>
          </cell>
          <cell r="F378">
            <v>12.8</v>
          </cell>
          <cell r="G378">
            <v>29690</v>
          </cell>
          <cell r="H378">
            <v>25650</v>
          </cell>
          <cell r="I378">
            <v>4030</v>
          </cell>
          <cell r="J378">
            <v>13.586052183051626</v>
          </cell>
        </row>
        <row r="379">
          <cell r="B379" t="str">
            <v>MC5310146</v>
          </cell>
          <cell r="C379">
            <v>26380</v>
          </cell>
          <cell r="D379">
            <v>3960</v>
          </cell>
          <cell r="E379">
            <v>30340</v>
          </cell>
          <cell r="F379">
            <v>13.1</v>
          </cell>
          <cell r="G379">
            <v>29800</v>
          </cell>
          <cell r="H379">
            <v>25770</v>
          </cell>
          <cell r="I379">
            <v>4020</v>
          </cell>
          <cell r="J379">
            <v>13.49711095822216</v>
          </cell>
        </row>
        <row r="380">
          <cell r="B380" t="str">
            <v>MC5310147</v>
          </cell>
          <cell r="C380">
            <v>26190</v>
          </cell>
          <cell r="D380">
            <v>3800</v>
          </cell>
          <cell r="E380">
            <v>29990</v>
          </cell>
          <cell r="F380">
            <v>12.7</v>
          </cell>
          <cell r="G380">
            <v>29820</v>
          </cell>
          <cell r="H380">
            <v>25830</v>
          </cell>
          <cell r="I380">
            <v>3990</v>
          </cell>
          <cell r="J380">
            <v>13.376891498972521</v>
          </cell>
        </row>
        <row r="381">
          <cell r="B381" t="str">
            <v>MC5310148</v>
          </cell>
          <cell r="C381" t="str">
            <v/>
          </cell>
          <cell r="D381" t="str">
            <v/>
          </cell>
          <cell r="E381" t="e">
            <v>#VALUE!</v>
          </cell>
          <cell r="F381" t="str">
            <v/>
          </cell>
          <cell r="G381" t="str">
            <v/>
          </cell>
          <cell r="H381" t="str">
            <v/>
          </cell>
          <cell r="I381" t="str">
            <v/>
          </cell>
          <cell r="J381" t="str">
            <v/>
          </cell>
        </row>
        <row r="382">
          <cell r="B382" t="str">
            <v>MC5310149</v>
          </cell>
          <cell r="C382" t="str">
            <v/>
          </cell>
          <cell r="D382" t="str">
            <v/>
          </cell>
          <cell r="E382" t="e">
            <v>#VALUE!</v>
          </cell>
          <cell r="F382" t="str">
            <v/>
          </cell>
          <cell r="G382" t="str">
            <v/>
          </cell>
          <cell r="H382" t="str">
            <v/>
          </cell>
          <cell r="I382" t="str">
            <v/>
          </cell>
          <cell r="J382" t="str">
            <v/>
          </cell>
        </row>
        <row r="383">
          <cell r="B383" t="str">
            <v>MC53101410</v>
          </cell>
          <cell r="C383" t="str">
            <v/>
          </cell>
          <cell r="D383" t="str">
            <v/>
          </cell>
          <cell r="E383" t="e">
            <v>#VALUE!</v>
          </cell>
          <cell r="F383" t="str">
            <v/>
          </cell>
          <cell r="G383" t="str">
            <v/>
          </cell>
          <cell r="H383" t="str">
            <v/>
          </cell>
          <cell r="I383" t="str">
            <v/>
          </cell>
          <cell r="J383" t="str">
            <v/>
          </cell>
        </row>
        <row r="384">
          <cell r="B384" t="str">
            <v>MC53101411</v>
          </cell>
          <cell r="C384" t="str">
            <v/>
          </cell>
          <cell r="D384" t="str">
            <v/>
          </cell>
          <cell r="E384" t="e">
            <v>#VALUE!</v>
          </cell>
          <cell r="F384" t="str">
            <v/>
          </cell>
          <cell r="G384" t="str">
            <v/>
          </cell>
          <cell r="H384" t="str">
            <v/>
          </cell>
          <cell r="I384" t="str">
            <v/>
          </cell>
          <cell r="J384" t="str">
            <v/>
          </cell>
        </row>
        <row r="385">
          <cell r="B385" t="str">
            <v>MC53101412</v>
          </cell>
          <cell r="C385" t="str">
            <v/>
          </cell>
          <cell r="D385" t="str">
            <v/>
          </cell>
          <cell r="E385" t="e">
            <v>#VALUE!</v>
          </cell>
          <cell r="F385" t="str">
            <v/>
          </cell>
          <cell r="G385" t="str">
            <v/>
          </cell>
          <cell r="H385" t="str">
            <v/>
          </cell>
          <cell r="I385" t="str">
            <v/>
          </cell>
          <cell r="J385" t="str">
            <v/>
          </cell>
        </row>
        <row r="386">
          <cell r="B386" t="str">
            <v>IM5338901</v>
          </cell>
          <cell r="C386">
            <v>194120</v>
          </cell>
          <cell r="D386">
            <v>29740</v>
          </cell>
          <cell r="E386">
            <v>223860</v>
          </cell>
          <cell r="F386">
            <v>13.3</v>
          </cell>
          <cell r="G386">
            <v>223860</v>
          </cell>
          <cell r="H386">
            <v>194120</v>
          </cell>
          <cell r="I386">
            <v>29740</v>
          </cell>
          <cell r="J386">
            <v>13.3</v>
          </cell>
        </row>
        <row r="387">
          <cell r="B387" t="str">
            <v>IM5338902</v>
          </cell>
          <cell r="C387">
            <v>194830</v>
          </cell>
          <cell r="D387">
            <v>28970</v>
          </cell>
          <cell r="E387">
            <v>223800</v>
          </cell>
          <cell r="F387">
            <v>12.9</v>
          </cell>
          <cell r="G387">
            <v>223830</v>
          </cell>
          <cell r="H387">
            <v>194480</v>
          </cell>
          <cell r="I387">
            <v>29360</v>
          </cell>
          <cell r="J387">
            <v>11.971883911899818</v>
          </cell>
        </row>
        <row r="388">
          <cell r="B388" t="str">
            <v>IM5338903</v>
          </cell>
          <cell r="C388">
            <v>194290</v>
          </cell>
          <cell r="D388">
            <v>29100</v>
          </cell>
          <cell r="E388">
            <v>223390</v>
          </cell>
          <cell r="F388">
            <v>13</v>
          </cell>
          <cell r="G388">
            <v>223690</v>
          </cell>
          <cell r="H388">
            <v>194420</v>
          </cell>
          <cell r="I388">
            <v>29270</v>
          </cell>
          <cell r="J388">
            <v>11.766171887352176</v>
          </cell>
        </row>
        <row r="389">
          <cell r="B389" t="str">
            <v>IM5338904</v>
          </cell>
          <cell r="C389">
            <v>194290</v>
          </cell>
          <cell r="D389">
            <v>28460</v>
          </cell>
          <cell r="E389">
            <v>222750</v>
          </cell>
          <cell r="F389">
            <v>12.8</v>
          </cell>
          <cell r="G389">
            <v>223450</v>
          </cell>
          <cell r="H389">
            <v>194380</v>
          </cell>
          <cell r="I389">
            <v>29070</v>
          </cell>
          <cell r="J389">
            <v>11.451295089406708</v>
          </cell>
        </row>
        <row r="390">
          <cell r="B390" t="str">
            <v>IM5338905</v>
          </cell>
          <cell r="C390">
            <v>194780</v>
          </cell>
          <cell r="D390">
            <v>28390</v>
          </cell>
          <cell r="E390">
            <v>223170</v>
          </cell>
          <cell r="F390">
            <v>12.7</v>
          </cell>
          <cell r="G390">
            <v>223400</v>
          </cell>
          <cell r="H390">
            <v>194460</v>
          </cell>
          <cell r="I390">
            <v>28930</v>
          </cell>
          <cell r="J390">
            <v>11.058892555081275</v>
          </cell>
        </row>
        <row r="391">
          <cell r="B391" t="str">
            <v>IM5338906</v>
          </cell>
          <cell r="C391">
            <v>191880</v>
          </cell>
          <cell r="D391">
            <v>27000</v>
          </cell>
          <cell r="E391">
            <v>218880</v>
          </cell>
          <cell r="F391">
            <v>12.3</v>
          </cell>
          <cell r="G391">
            <v>222650</v>
          </cell>
          <cell r="H391">
            <v>194030</v>
          </cell>
          <cell r="I391">
            <v>28610</v>
          </cell>
          <cell r="J391">
            <v>10.425006801663491</v>
          </cell>
        </row>
        <row r="392">
          <cell r="B392" t="str">
            <v>IM5338907</v>
          </cell>
          <cell r="C392">
            <v>187810</v>
          </cell>
          <cell r="D392">
            <v>21180</v>
          </cell>
          <cell r="E392">
            <v>208990</v>
          </cell>
          <cell r="F392">
            <v>10.1</v>
          </cell>
          <cell r="G392">
            <v>220690</v>
          </cell>
          <cell r="H392">
            <v>193140</v>
          </cell>
          <cell r="I392">
            <v>27550</v>
          </cell>
          <cell r="J392">
            <v>9.1157209884503079</v>
          </cell>
        </row>
        <row r="393">
          <cell r="B393" t="str">
            <v>IM5338908</v>
          </cell>
          <cell r="C393" t="str">
            <v/>
          </cell>
          <cell r="D393" t="str">
            <v/>
          </cell>
          <cell r="E393" t="e">
            <v>#VALUE!</v>
          </cell>
          <cell r="F393" t="str">
            <v/>
          </cell>
          <cell r="G393" t="str">
            <v/>
          </cell>
          <cell r="H393" t="str">
            <v/>
          </cell>
          <cell r="I393" t="str">
            <v/>
          </cell>
          <cell r="J393" t="str">
            <v/>
          </cell>
        </row>
        <row r="394">
          <cell r="B394" t="str">
            <v>IM5338909</v>
          </cell>
          <cell r="C394" t="str">
            <v/>
          </cell>
          <cell r="D394" t="str">
            <v/>
          </cell>
          <cell r="E394" t="e">
            <v>#VALUE!</v>
          </cell>
          <cell r="F394" t="str">
            <v/>
          </cell>
          <cell r="G394" t="str">
            <v/>
          </cell>
          <cell r="H394" t="str">
            <v/>
          </cell>
          <cell r="I394" t="str">
            <v/>
          </cell>
          <cell r="J394" t="str">
            <v/>
          </cell>
        </row>
        <row r="395">
          <cell r="B395" t="str">
            <v>IM53389010</v>
          </cell>
          <cell r="C395" t="str">
            <v/>
          </cell>
          <cell r="D395" t="str">
            <v/>
          </cell>
          <cell r="E395" t="e">
            <v>#VALUE!</v>
          </cell>
          <cell r="F395" t="str">
            <v/>
          </cell>
          <cell r="G395" t="str">
            <v/>
          </cell>
          <cell r="H395" t="str">
            <v/>
          </cell>
          <cell r="I395" t="str">
            <v/>
          </cell>
          <cell r="J395" t="str">
            <v/>
          </cell>
        </row>
        <row r="396">
          <cell r="B396" t="str">
            <v>IM53389011</v>
          </cell>
          <cell r="C396" t="str">
            <v/>
          </cell>
          <cell r="D396" t="str">
            <v/>
          </cell>
          <cell r="E396" t="e">
            <v>#VALUE!</v>
          </cell>
          <cell r="F396" t="str">
            <v/>
          </cell>
          <cell r="G396" t="str">
            <v/>
          </cell>
          <cell r="H396" t="str">
            <v/>
          </cell>
          <cell r="I396" t="str">
            <v/>
          </cell>
          <cell r="J396" t="str">
            <v/>
          </cell>
        </row>
        <row r="397">
          <cell r="B397" t="str">
            <v>IM53389012</v>
          </cell>
          <cell r="C397" t="str">
            <v/>
          </cell>
          <cell r="D397" t="str">
            <v/>
          </cell>
          <cell r="E397" t="e">
            <v>#VALUE!</v>
          </cell>
          <cell r="F397" t="str">
            <v/>
          </cell>
          <cell r="G397" t="str">
            <v/>
          </cell>
          <cell r="H397" t="str">
            <v/>
          </cell>
          <cell r="I397" t="str">
            <v/>
          </cell>
          <cell r="J397" t="str">
            <v/>
          </cell>
        </row>
        <row r="398">
          <cell r="B398" t="str">
            <v>DV5345101</v>
          </cell>
          <cell r="C398">
            <v>355520</v>
          </cell>
          <cell r="D398">
            <v>39930</v>
          </cell>
          <cell r="E398">
            <v>395450</v>
          </cell>
          <cell r="F398">
            <v>10.1</v>
          </cell>
          <cell r="G398">
            <v>395450</v>
          </cell>
          <cell r="H398">
            <v>355520</v>
          </cell>
          <cell r="I398">
            <v>39930</v>
          </cell>
          <cell r="J398">
            <v>10.1</v>
          </cell>
        </row>
        <row r="399">
          <cell r="B399" t="str">
            <v>DV5345102</v>
          </cell>
          <cell r="C399">
            <v>353060</v>
          </cell>
          <cell r="D399">
            <v>40610</v>
          </cell>
          <cell r="E399">
            <v>393670</v>
          </cell>
          <cell r="F399">
            <v>10.3</v>
          </cell>
          <cell r="G399">
            <v>394560</v>
          </cell>
          <cell r="H399">
            <v>354290</v>
          </cell>
          <cell r="I399">
            <v>40270</v>
          </cell>
          <cell r="J399">
            <v>10.206153167697771</v>
          </cell>
        </row>
        <row r="400">
          <cell r="B400" t="str">
            <v>DV5345103</v>
          </cell>
          <cell r="C400">
            <v>353590</v>
          </cell>
          <cell r="D400">
            <v>41080</v>
          </cell>
          <cell r="E400">
            <v>394670</v>
          </cell>
          <cell r="F400">
            <v>10.4</v>
          </cell>
          <cell r="G400">
            <v>394600</v>
          </cell>
          <cell r="H400">
            <v>354060</v>
          </cell>
          <cell r="I400">
            <v>40540</v>
          </cell>
          <cell r="J400">
            <v>10.273697192914282</v>
          </cell>
        </row>
        <row r="401">
          <cell r="B401" t="str">
            <v>DV5345104</v>
          </cell>
          <cell r="C401">
            <v>352960</v>
          </cell>
          <cell r="D401">
            <v>37410</v>
          </cell>
          <cell r="E401">
            <v>390370</v>
          </cell>
          <cell r="F401">
            <v>9.6</v>
          </cell>
          <cell r="G401">
            <v>393540</v>
          </cell>
          <cell r="H401">
            <v>353780</v>
          </cell>
          <cell r="I401">
            <v>39760</v>
          </cell>
          <cell r="J401">
            <v>10.102378801565793</v>
          </cell>
        </row>
        <row r="402">
          <cell r="B402" t="str">
            <v>DV5345105</v>
          </cell>
          <cell r="C402">
            <v>356610</v>
          </cell>
          <cell r="D402">
            <v>37630</v>
          </cell>
          <cell r="E402">
            <v>394240</v>
          </cell>
          <cell r="F402">
            <v>9.5</v>
          </cell>
          <cell r="G402">
            <v>393680</v>
          </cell>
          <cell r="H402">
            <v>354350</v>
          </cell>
          <cell r="I402">
            <v>39330</v>
          </cell>
          <cell r="J402">
            <v>9.9906014560122749</v>
          </cell>
        </row>
        <row r="403">
          <cell r="B403" t="str">
            <v>DV5345106</v>
          </cell>
          <cell r="C403">
            <v>349550</v>
          </cell>
          <cell r="D403">
            <v>37760</v>
          </cell>
          <cell r="E403">
            <v>387310</v>
          </cell>
          <cell r="F403">
            <v>9.6999999999999993</v>
          </cell>
          <cell r="G403">
            <v>392620</v>
          </cell>
          <cell r="H403">
            <v>353550</v>
          </cell>
          <cell r="I403">
            <v>39070</v>
          </cell>
          <cell r="J403">
            <v>9.950965763481868</v>
          </cell>
        </row>
        <row r="404">
          <cell r="B404" t="str">
            <v>DV5345107</v>
          </cell>
          <cell r="C404">
            <v>344200</v>
          </cell>
          <cell r="D404">
            <v>36710</v>
          </cell>
          <cell r="E404">
            <v>380910</v>
          </cell>
          <cell r="F404">
            <v>9.6</v>
          </cell>
          <cell r="G404">
            <v>390950</v>
          </cell>
          <cell r="H404">
            <v>352210</v>
          </cell>
          <cell r="I404">
            <v>38730</v>
          </cell>
          <cell r="J404">
            <v>9.9074112645608565</v>
          </cell>
        </row>
        <row r="405">
          <cell r="B405" t="str">
            <v>DV5345108</v>
          </cell>
          <cell r="C405" t="str">
            <v/>
          </cell>
          <cell r="D405" t="str">
            <v/>
          </cell>
          <cell r="E405" t="e">
            <v>#VALUE!</v>
          </cell>
          <cell r="F405" t="str">
            <v/>
          </cell>
          <cell r="G405" t="str">
            <v/>
          </cell>
          <cell r="H405" t="str">
            <v/>
          </cell>
          <cell r="I405" t="str">
            <v/>
          </cell>
          <cell r="J405" t="str">
            <v/>
          </cell>
        </row>
        <row r="406">
          <cell r="B406" t="str">
            <v>DV5345109</v>
          </cell>
          <cell r="C406" t="str">
            <v/>
          </cell>
          <cell r="D406" t="str">
            <v/>
          </cell>
          <cell r="E406" t="e">
            <v>#VALUE!</v>
          </cell>
          <cell r="F406" t="str">
            <v/>
          </cell>
          <cell r="G406" t="str">
            <v/>
          </cell>
          <cell r="H406" t="str">
            <v/>
          </cell>
          <cell r="I406" t="str">
            <v/>
          </cell>
          <cell r="J406" t="str">
            <v/>
          </cell>
        </row>
        <row r="407">
          <cell r="B407" t="str">
            <v>DV53451010</v>
          </cell>
          <cell r="C407" t="str">
            <v/>
          </cell>
          <cell r="D407" t="str">
            <v/>
          </cell>
          <cell r="E407" t="e">
            <v>#VALUE!</v>
          </cell>
          <cell r="F407" t="str">
            <v/>
          </cell>
          <cell r="G407" t="str">
            <v/>
          </cell>
          <cell r="H407" t="str">
            <v/>
          </cell>
          <cell r="I407" t="str">
            <v/>
          </cell>
          <cell r="J407" t="str">
            <v/>
          </cell>
        </row>
        <row r="408">
          <cell r="B408" t="str">
            <v>DV53451011</v>
          </cell>
          <cell r="C408" t="str">
            <v/>
          </cell>
          <cell r="D408" t="str">
            <v/>
          </cell>
          <cell r="E408" t="e">
            <v>#VALUE!</v>
          </cell>
          <cell r="F408" t="str">
            <v/>
          </cell>
          <cell r="G408" t="str">
            <v/>
          </cell>
          <cell r="H408" t="str">
            <v/>
          </cell>
          <cell r="I408" t="str">
            <v/>
          </cell>
          <cell r="J408" t="str">
            <v/>
          </cell>
        </row>
        <row r="409">
          <cell r="B409" t="str">
            <v>DV53451012</v>
          </cell>
          <cell r="C409" t="str">
            <v/>
          </cell>
          <cell r="D409" t="str">
            <v/>
          </cell>
          <cell r="E409" t="e">
            <v>#VALUE!</v>
          </cell>
          <cell r="F409" t="str">
            <v/>
          </cell>
          <cell r="G409" t="str">
            <v/>
          </cell>
          <cell r="H409" t="str">
            <v/>
          </cell>
          <cell r="I409" t="str">
            <v/>
          </cell>
          <cell r="J409" t="str">
            <v/>
          </cell>
        </row>
        <row r="410">
          <cell r="B410" t="str">
            <v>DV5342641</v>
          </cell>
          <cell r="C410">
            <v>1349930</v>
          </cell>
          <cell r="D410">
            <v>132630</v>
          </cell>
          <cell r="E410">
            <v>1482560</v>
          </cell>
          <cell r="F410">
            <v>8.9</v>
          </cell>
          <cell r="G410">
            <v>1482560</v>
          </cell>
          <cell r="H410">
            <v>1349930</v>
          </cell>
          <cell r="I410">
            <v>132630</v>
          </cell>
          <cell r="J410">
            <v>8.9</v>
          </cell>
        </row>
        <row r="411">
          <cell r="B411" t="str">
            <v>DV5342642</v>
          </cell>
          <cell r="C411">
            <v>1357480</v>
          </cell>
          <cell r="D411">
            <v>136050</v>
          </cell>
          <cell r="E411">
            <v>1493530</v>
          </cell>
          <cell r="F411">
            <v>9.1</v>
          </cell>
          <cell r="G411">
            <v>1488040</v>
          </cell>
          <cell r="H411">
            <v>1353700</v>
          </cell>
          <cell r="I411">
            <v>134340</v>
          </cell>
          <cell r="J411">
            <v>9.0280596541500113</v>
          </cell>
        </row>
        <row r="412">
          <cell r="B412" t="str">
            <v>DV5342643</v>
          </cell>
          <cell r="C412">
            <v>1352500</v>
          </cell>
          <cell r="D412">
            <v>132720</v>
          </cell>
          <cell r="E412">
            <v>1485220</v>
          </cell>
          <cell r="F412">
            <v>8.9</v>
          </cell>
          <cell r="G412">
            <v>1487100</v>
          </cell>
          <cell r="H412">
            <v>1353300</v>
          </cell>
          <cell r="I412">
            <v>133800</v>
          </cell>
          <cell r="J412">
            <v>8.9973225323083721</v>
          </cell>
        </row>
        <row r="413">
          <cell r="B413" t="str">
            <v>DV5342644</v>
          </cell>
          <cell r="C413">
            <v>1339000</v>
          </cell>
          <cell r="D413">
            <v>122440</v>
          </cell>
          <cell r="E413">
            <v>1461440</v>
          </cell>
          <cell r="F413">
            <v>8.4</v>
          </cell>
          <cell r="G413">
            <v>1480690</v>
          </cell>
          <cell r="H413">
            <v>1349730</v>
          </cell>
          <cell r="I413">
            <v>130960</v>
          </cell>
          <cell r="J413">
            <v>8.8445709021752048</v>
          </cell>
        </row>
        <row r="414">
          <cell r="B414" t="str">
            <v>DV5342645</v>
          </cell>
          <cell r="C414">
            <v>1346820</v>
          </cell>
          <cell r="D414">
            <v>121910</v>
          </cell>
          <cell r="E414">
            <v>1468730</v>
          </cell>
          <cell r="F414">
            <v>8.3000000000000007</v>
          </cell>
          <cell r="G414">
            <v>1478300</v>
          </cell>
          <cell r="H414">
            <v>1349150</v>
          </cell>
          <cell r="I414">
            <v>129150</v>
          </cell>
          <cell r="J414">
            <v>8.7364817476535173</v>
          </cell>
        </row>
        <row r="415">
          <cell r="B415" t="str">
            <v>DV5342646</v>
          </cell>
          <cell r="C415">
            <v>1345800</v>
          </cell>
          <cell r="D415">
            <v>135790</v>
          </cell>
          <cell r="E415">
            <v>1481590</v>
          </cell>
          <cell r="F415">
            <v>9.1999999999999993</v>
          </cell>
          <cell r="G415">
            <v>1478850</v>
          </cell>
          <cell r="H415">
            <v>1348590</v>
          </cell>
          <cell r="I415">
            <v>130260</v>
          </cell>
          <cell r="J415">
            <v>8.8080987399645938</v>
          </cell>
        </row>
        <row r="416">
          <cell r="B416" t="str">
            <v>DV5342647</v>
          </cell>
          <cell r="C416">
            <v>1344750</v>
          </cell>
          <cell r="D416">
            <v>132900</v>
          </cell>
          <cell r="E416">
            <v>1477650</v>
          </cell>
          <cell r="F416">
            <v>9</v>
          </cell>
          <cell r="G416">
            <v>1478680</v>
          </cell>
          <cell r="H416">
            <v>1348040</v>
          </cell>
          <cell r="I416">
            <v>130640</v>
          </cell>
          <cell r="J416">
            <v>8.8346664430432771</v>
          </cell>
        </row>
        <row r="417">
          <cell r="B417" t="str">
            <v>DV5342648</v>
          </cell>
          <cell r="C417" t="str">
            <v/>
          </cell>
          <cell r="D417" t="str">
            <v/>
          </cell>
          <cell r="E417" t="e">
            <v>#VALUE!</v>
          </cell>
          <cell r="F417" t="str">
            <v/>
          </cell>
          <cell r="G417" t="str">
            <v/>
          </cell>
          <cell r="H417" t="str">
            <v/>
          </cell>
          <cell r="I417" t="str">
            <v/>
          </cell>
          <cell r="J417" t="str">
            <v/>
          </cell>
        </row>
        <row r="418">
          <cell r="B418" t="str">
            <v>DV5342649</v>
          </cell>
          <cell r="C418" t="str">
            <v/>
          </cell>
          <cell r="D418" t="str">
            <v/>
          </cell>
          <cell r="E418" t="e">
            <v>#VALUE!</v>
          </cell>
          <cell r="F418" t="str">
            <v/>
          </cell>
          <cell r="G418" t="str">
            <v/>
          </cell>
          <cell r="H418" t="str">
            <v/>
          </cell>
          <cell r="I418" t="str">
            <v/>
          </cell>
          <cell r="J418" t="str">
            <v/>
          </cell>
        </row>
        <row r="419">
          <cell r="B419" t="str">
            <v>DV53426410</v>
          </cell>
          <cell r="C419" t="str">
            <v/>
          </cell>
          <cell r="D419" t="str">
            <v/>
          </cell>
          <cell r="E419" t="e">
            <v>#VALUE!</v>
          </cell>
          <cell r="F419" t="str">
            <v/>
          </cell>
          <cell r="G419" t="str">
            <v/>
          </cell>
          <cell r="H419" t="str">
            <v/>
          </cell>
          <cell r="I419" t="str">
            <v/>
          </cell>
          <cell r="J419" t="str">
            <v/>
          </cell>
        </row>
        <row r="420">
          <cell r="B420" t="str">
            <v>DV53426411</v>
          </cell>
          <cell r="C420" t="str">
            <v/>
          </cell>
          <cell r="D420" t="str">
            <v/>
          </cell>
          <cell r="E420" t="e">
            <v>#VALUE!</v>
          </cell>
          <cell r="F420" t="str">
            <v/>
          </cell>
          <cell r="G420" t="str">
            <v/>
          </cell>
          <cell r="H420" t="str">
            <v/>
          </cell>
          <cell r="I420" t="str">
            <v/>
          </cell>
          <cell r="J420" t="str">
            <v/>
          </cell>
        </row>
        <row r="421">
          <cell r="B421" t="str">
            <v>DV53426412</v>
          </cell>
          <cell r="C421" t="str">
            <v/>
          </cell>
          <cell r="D421" t="str">
            <v/>
          </cell>
          <cell r="E421" t="e">
            <v>#VALUE!</v>
          </cell>
          <cell r="F421" t="str">
            <v/>
          </cell>
          <cell r="G421" t="str">
            <v/>
          </cell>
          <cell r="H421" t="str">
            <v/>
          </cell>
          <cell r="I421" t="str">
            <v/>
          </cell>
          <cell r="J421" t="str">
            <v/>
          </cell>
        </row>
        <row r="422">
          <cell r="B422" t="str">
            <v>CT5320001</v>
          </cell>
          <cell r="C422">
            <v>14270</v>
          </cell>
          <cell r="D422">
            <v>1520</v>
          </cell>
          <cell r="E422">
            <v>15790</v>
          </cell>
          <cell r="F422">
            <v>9.6</v>
          </cell>
          <cell r="G422">
            <v>15780</v>
          </cell>
          <cell r="H422">
            <v>14270</v>
          </cell>
          <cell r="I422">
            <v>1520</v>
          </cell>
          <cell r="J422">
            <v>9.6</v>
          </cell>
        </row>
        <row r="423">
          <cell r="B423" t="str">
            <v>CT5320002</v>
          </cell>
          <cell r="C423">
            <v>14410</v>
          </cell>
          <cell r="D423">
            <v>1440</v>
          </cell>
          <cell r="E423">
            <v>15850</v>
          </cell>
          <cell r="F423">
            <v>9.1</v>
          </cell>
          <cell r="G423">
            <v>15820</v>
          </cell>
          <cell r="H423">
            <v>14340</v>
          </cell>
          <cell r="I423">
            <v>1480</v>
          </cell>
          <cell r="J423">
            <v>9.343490217150805</v>
          </cell>
        </row>
        <row r="424">
          <cell r="B424" t="str">
            <v>CT5320003</v>
          </cell>
          <cell r="C424">
            <v>14600</v>
          </cell>
          <cell r="D424">
            <v>1460</v>
          </cell>
          <cell r="E424">
            <v>16060</v>
          </cell>
          <cell r="F424">
            <v>9.1</v>
          </cell>
          <cell r="G424">
            <v>15900</v>
          </cell>
          <cell r="H424">
            <v>14430</v>
          </cell>
          <cell r="I424">
            <v>1470</v>
          </cell>
          <cell r="J424">
            <v>9.2559592444286043</v>
          </cell>
        </row>
        <row r="425">
          <cell r="B425" t="str">
            <v>CT5320004</v>
          </cell>
          <cell r="C425">
            <v>14320</v>
          </cell>
          <cell r="D425">
            <v>1430</v>
          </cell>
          <cell r="E425">
            <v>15750</v>
          </cell>
          <cell r="F425">
            <v>9.1</v>
          </cell>
          <cell r="G425">
            <v>15860</v>
          </cell>
          <cell r="H425">
            <v>14400</v>
          </cell>
          <cell r="I425">
            <v>1460</v>
          </cell>
          <cell r="J425">
            <v>9.2084108319409861</v>
          </cell>
        </row>
        <row r="426">
          <cell r="B426" t="str">
            <v>CT5320005</v>
          </cell>
          <cell r="C426">
            <v>14520</v>
          </cell>
          <cell r="D426">
            <v>1490</v>
          </cell>
          <cell r="E426">
            <v>16010</v>
          </cell>
          <cell r="F426">
            <v>9.3000000000000007</v>
          </cell>
          <cell r="G426">
            <v>15890</v>
          </cell>
          <cell r="H426">
            <v>14420</v>
          </cell>
          <cell r="I426">
            <v>1470</v>
          </cell>
          <cell r="J426">
            <v>9.2256960177213916</v>
          </cell>
        </row>
        <row r="427">
          <cell r="B427" t="str">
            <v>CT5320006</v>
          </cell>
          <cell r="C427">
            <v>16600</v>
          </cell>
          <cell r="D427">
            <v>1540</v>
          </cell>
          <cell r="E427">
            <v>18140</v>
          </cell>
          <cell r="F427">
            <v>8.5</v>
          </cell>
          <cell r="G427">
            <v>16260</v>
          </cell>
          <cell r="H427">
            <v>14790</v>
          </cell>
          <cell r="I427">
            <v>1480</v>
          </cell>
          <cell r="J427">
            <v>9.084201789172738</v>
          </cell>
        </row>
        <row r="428">
          <cell r="B428" t="str">
            <v>CT5320007</v>
          </cell>
          <cell r="C428">
            <v>18440</v>
          </cell>
          <cell r="D428">
            <v>1320</v>
          </cell>
          <cell r="E428">
            <v>19760</v>
          </cell>
          <cell r="F428">
            <v>6.7</v>
          </cell>
          <cell r="G428">
            <v>16760</v>
          </cell>
          <cell r="H428">
            <v>15310</v>
          </cell>
          <cell r="I428">
            <v>1450</v>
          </cell>
          <cell r="J428">
            <v>8.6783127396676605</v>
          </cell>
        </row>
        <row r="429">
          <cell r="B429" t="str">
            <v>CT5320008</v>
          </cell>
          <cell r="C429" t="str">
            <v/>
          </cell>
          <cell r="D429" t="str">
            <v/>
          </cell>
          <cell r="E429" t="e">
            <v>#VALUE!</v>
          </cell>
          <cell r="F429" t="str">
            <v/>
          </cell>
          <cell r="G429" t="str">
            <v/>
          </cell>
          <cell r="H429" t="str">
            <v/>
          </cell>
          <cell r="I429" t="str">
            <v/>
          </cell>
          <cell r="J429" t="str">
            <v/>
          </cell>
        </row>
        <row r="430">
          <cell r="B430" t="str">
            <v>CT5320009</v>
          </cell>
          <cell r="C430" t="str">
            <v/>
          </cell>
          <cell r="D430" t="str">
            <v/>
          </cell>
          <cell r="E430" t="e">
            <v>#VALUE!</v>
          </cell>
          <cell r="F430" t="str">
            <v/>
          </cell>
          <cell r="G430" t="str">
            <v/>
          </cell>
          <cell r="H430" t="str">
            <v/>
          </cell>
          <cell r="I430" t="str">
            <v/>
          </cell>
          <cell r="J430" t="str">
            <v/>
          </cell>
        </row>
        <row r="431">
          <cell r="B431" t="str">
            <v>CT53200010</v>
          </cell>
          <cell r="C431" t="str">
            <v/>
          </cell>
          <cell r="D431" t="str">
            <v/>
          </cell>
          <cell r="E431" t="e">
            <v>#VALUE!</v>
          </cell>
          <cell r="F431" t="str">
            <v/>
          </cell>
          <cell r="G431" t="str">
            <v/>
          </cell>
          <cell r="H431" t="str">
            <v/>
          </cell>
          <cell r="I431" t="str">
            <v/>
          </cell>
          <cell r="J431" t="str">
            <v/>
          </cell>
        </row>
        <row r="432">
          <cell r="B432" t="str">
            <v>CT53200011</v>
          </cell>
          <cell r="C432" t="str">
            <v/>
          </cell>
          <cell r="D432" t="str">
            <v/>
          </cell>
          <cell r="E432" t="e">
            <v>#VALUE!</v>
          </cell>
          <cell r="F432" t="str">
            <v/>
          </cell>
          <cell r="G432" t="str">
            <v/>
          </cell>
          <cell r="H432" t="str">
            <v/>
          </cell>
          <cell r="I432" t="str">
            <v/>
          </cell>
          <cell r="J432" t="str">
            <v/>
          </cell>
        </row>
        <row r="433">
          <cell r="B433" t="str">
            <v>CT53200012</v>
          </cell>
          <cell r="C433" t="str">
            <v/>
          </cell>
          <cell r="D433" t="str">
            <v/>
          </cell>
          <cell r="E433" t="e">
            <v>#VALUE!</v>
          </cell>
          <cell r="F433" t="str">
            <v/>
          </cell>
          <cell r="G433" t="str">
            <v/>
          </cell>
          <cell r="H433" t="str">
            <v/>
          </cell>
          <cell r="I433" t="str">
            <v/>
          </cell>
          <cell r="J433" t="str">
            <v/>
          </cell>
        </row>
        <row r="434">
          <cell r="B434" t="str">
            <v>CT5313001</v>
          </cell>
          <cell r="C434">
            <v>13070</v>
          </cell>
          <cell r="D434">
            <v>1510</v>
          </cell>
          <cell r="E434">
            <v>14580</v>
          </cell>
          <cell r="F434">
            <v>10.3</v>
          </cell>
          <cell r="G434">
            <v>14570</v>
          </cell>
          <cell r="H434">
            <v>13070</v>
          </cell>
          <cell r="I434">
            <v>1510</v>
          </cell>
          <cell r="J434">
            <v>10.3</v>
          </cell>
        </row>
        <row r="435">
          <cell r="B435" t="str">
            <v>CT5313002</v>
          </cell>
          <cell r="C435">
            <v>13140</v>
          </cell>
          <cell r="D435">
            <v>1510</v>
          </cell>
          <cell r="E435">
            <v>14650</v>
          </cell>
          <cell r="F435">
            <v>10.3</v>
          </cell>
          <cell r="G435">
            <v>14610</v>
          </cell>
          <cell r="H435">
            <v>13100</v>
          </cell>
          <cell r="I435">
            <v>1510</v>
          </cell>
          <cell r="J435">
            <v>10.317568954896995</v>
          </cell>
        </row>
        <row r="436">
          <cell r="B436" t="str">
            <v>CT5313003</v>
          </cell>
          <cell r="C436">
            <v>13090</v>
          </cell>
          <cell r="D436">
            <v>1540</v>
          </cell>
          <cell r="E436">
            <v>14630</v>
          </cell>
          <cell r="F436">
            <v>10.5</v>
          </cell>
          <cell r="G436">
            <v>14620</v>
          </cell>
          <cell r="H436">
            <v>13100</v>
          </cell>
          <cell r="I436">
            <v>1520</v>
          </cell>
          <cell r="J436">
            <v>10.394910848647909</v>
          </cell>
        </row>
        <row r="437">
          <cell r="B437" t="str">
            <v>CT5313004</v>
          </cell>
          <cell r="C437">
            <v>12960</v>
          </cell>
          <cell r="D437">
            <v>1460</v>
          </cell>
          <cell r="E437">
            <v>14420</v>
          </cell>
          <cell r="F437">
            <v>10.1</v>
          </cell>
          <cell r="G437">
            <v>14570</v>
          </cell>
          <cell r="H437">
            <v>13070</v>
          </cell>
          <cell r="I437">
            <v>1500</v>
          </cell>
          <cell r="J437">
            <v>10.323289175646922</v>
          </cell>
        </row>
        <row r="438">
          <cell r="B438" t="str">
            <v>CT5313005</v>
          </cell>
          <cell r="C438">
            <v>13040</v>
          </cell>
          <cell r="D438">
            <v>1460</v>
          </cell>
          <cell r="E438">
            <v>14500</v>
          </cell>
          <cell r="F438">
            <v>10.1</v>
          </cell>
          <cell r="G438">
            <v>14550</v>
          </cell>
          <cell r="H438">
            <v>13060</v>
          </cell>
          <cell r="I438">
            <v>1490</v>
          </cell>
          <cell r="J438">
            <v>10.269341761714992</v>
          </cell>
        </row>
        <row r="439">
          <cell r="B439" t="str">
            <v>CT5313006</v>
          </cell>
          <cell r="C439">
            <v>13030</v>
          </cell>
          <cell r="D439">
            <v>1570</v>
          </cell>
          <cell r="E439">
            <v>14600</v>
          </cell>
          <cell r="F439">
            <v>10.8</v>
          </cell>
          <cell r="G439">
            <v>14560</v>
          </cell>
          <cell r="H439">
            <v>13050</v>
          </cell>
          <cell r="I439">
            <v>1510</v>
          </cell>
          <cell r="J439">
            <v>10.351616152366997</v>
          </cell>
        </row>
        <row r="440">
          <cell r="B440" t="str">
            <v>CT5313007</v>
          </cell>
          <cell r="C440">
            <v>13020</v>
          </cell>
          <cell r="D440">
            <v>1410</v>
          </cell>
          <cell r="E440">
            <v>14430</v>
          </cell>
          <cell r="F440">
            <v>9.8000000000000007</v>
          </cell>
          <cell r="G440">
            <v>14540</v>
          </cell>
          <cell r="H440">
            <v>13050</v>
          </cell>
          <cell r="I440">
            <v>1490</v>
          </cell>
          <cell r="J440">
            <v>10.273185394748474</v>
          </cell>
        </row>
        <row r="441">
          <cell r="B441" t="str">
            <v>CT5313008</v>
          </cell>
          <cell r="C441" t="str">
            <v/>
          </cell>
          <cell r="D441" t="str">
            <v/>
          </cell>
          <cell r="E441" t="e">
            <v>#VALUE!</v>
          </cell>
          <cell r="F441" t="str">
            <v/>
          </cell>
          <cell r="G441" t="str">
            <v/>
          </cell>
          <cell r="H441" t="str">
            <v/>
          </cell>
          <cell r="I441" t="str">
            <v/>
          </cell>
          <cell r="J441" t="str">
            <v/>
          </cell>
        </row>
        <row r="442">
          <cell r="B442" t="str">
            <v>CT5313009</v>
          </cell>
          <cell r="C442" t="str">
            <v/>
          </cell>
          <cell r="D442" t="str">
            <v/>
          </cell>
          <cell r="E442" t="e">
            <v>#VALUE!</v>
          </cell>
          <cell r="F442" t="str">
            <v/>
          </cell>
          <cell r="G442" t="str">
            <v/>
          </cell>
          <cell r="H442" t="str">
            <v/>
          </cell>
          <cell r="I442" t="str">
            <v/>
          </cell>
          <cell r="J442" t="str">
            <v/>
          </cell>
        </row>
        <row r="443">
          <cell r="B443" t="str">
            <v>CT53130010</v>
          </cell>
          <cell r="C443" t="str">
            <v/>
          </cell>
          <cell r="D443" t="str">
            <v/>
          </cell>
          <cell r="E443" t="e">
            <v>#VALUE!</v>
          </cell>
          <cell r="F443" t="str">
            <v/>
          </cell>
          <cell r="G443" t="str">
            <v/>
          </cell>
          <cell r="H443" t="str">
            <v/>
          </cell>
          <cell r="I443" t="str">
            <v/>
          </cell>
          <cell r="J443" t="str">
            <v/>
          </cell>
        </row>
        <row r="444">
          <cell r="B444" t="str">
            <v>CT53130011</v>
          </cell>
          <cell r="C444" t="str">
            <v/>
          </cell>
          <cell r="D444" t="str">
            <v/>
          </cell>
          <cell r="E444" t="e">
            <v>#VALUE!</v>
          </cell>
          <cell r="F444" t="str">
            <v/>
          </cell>
          <cell r="G444" t="str">
            <v/>
          </cell>
          <cell r="H444" t="str">
            <v/>
          </cell>
          <cell r="I444" t="str">
            <v/>
          </cell>
          <cell r="J444" t="str">
            <v/>
          </cell>
        </row>
        <row r="445">
          <cell r="B445" t="str">
            <v>CT53130012</v>
          </cell>
          <cell r="C445" t="str">
            <v/>
          </cell>
          <cell r="D445" t="str">
            <v/>
          </cell>
          <cell r="E445" t="e">
            <v>#VALUE!</v>
          </cell>
          <cell r="F445" t="str">
            <v/>
          </cell>
          <cell r="G445" t="str">
            <v/>
          </cell>
          <cell r="H445" t="str">
            <v/>
          </cell>
          <cell r="I445" t="str">
            <v/>
          </cell>
          <cell r="J445" t="str">
            <v/>
          </cell>
        </row>
        <row r="446">
          <cell r="B446" t="str">
            <v>CT5312001</v>
          </cell>
          <cell r="C446">
            <v>21310</v>
          </cell>
          <cell r="D446">
            <v>1390</v>
          </cell>
          <cell r="E446">
            <v>22700</v>
          </cell>
          <cell r="F446">
            <v>6.1</v>
          </cell>
          <cell r="G446">
            <v>22700</v>
          </cell>
          <cell r="H446">
            <v>21310</v>
          </cell>
          <cell r="I446">
            <v>1390</v>
          </cell>
          <cell r="J446">
            <v>6.1</v>
          </cell>
        </row>
        <row r="447">
          <cell r="B447" t="str">
            <v>CT5312002</v>
          </cell>
          <cell r="C447">
            <v>21430</v>
          </cell>
          <cell r="D447">
            <v>1400</v>
          </cell>
          <cell r="E447">
            <v>22830</v>
          </cell>
          <cell r="F447">
            <v>6.1</v>
          </cell>
          <cell r="G447">
            <v>22760</v>
          </cell>
          <cell r="H447">
            <v>21370</v>
          </cell>
          <cell r="I447">
            <v>1390</v>
          </cell>
          <cell r="J447">
            <v>6.1235695930066552</v>
          </cell>
        </row>
        <row r="448">
          <cell r="B448" t="str">
            <v>CT5312003</v>
          </cell>
          <cell r="C448">
            <v>21350</v>
          </cell>
          <cell r="D448">
            <v>1410</v>
          </cell>
          <cell r="E448">
            <v>22760</v>
          </cell>
          <cell r="F448">
            <v>6.2</v>
          </cell>
          <cell r="G448">
            <v>22760</v>
          </cell>
          <cell r="H448">
            <v>21360</v>
          </cell>
          <cell r="I448">
            <v>1400</v>
          </cell>
          <cell r="J448">
            <v>6.1473129301508269</v>
          </cell>
        </row>
        <row r="449">
          <cell r="B449" t="str">
            <v>CT5312004</v>
          </cell>
          <cell r="C449">
            <v>21140</v>
          </cell>
          <cell r="D449">
            <v>1240</v>
          </cell>
          <cell r="E449">
            <v>22380</v>
          </cell>
          <cell r="F449">
            <v>5.5</v>
          </cell>
          <cell r="G449">
            <v>22670</v>
          </cell>
          <cell r="H449">
            <v>21310</v>
          </cell>
          <cell r="I449">
            <v>1360</v>
          </cell>
          <cell r="J449">
            <v>5.9956323208258882</v>
          </cell>
        </row>
        <row r="450">
          <cell r="B450" t="str">
            <v>CT5312005</v>
          </cell>
          <cell r="C450">
            <v>21260</v>
          </cell>
          <cell r="D450">
            <v>1280</v>
          </cell>
          <cell r="E450">
            <v>22540</v>
          </cell>
          <cell r="F450">
            <v>5.7</v>
          </cell>
          <cell r="G450">
            <v>22640</v>
          </cell>
          <cell r="H450">
            <v>21300</v>
          </cell>
          <cell r="I450">
            <v>1340</v>
          </cell>
          <cell r="J450">
            <v>5.9299500905437039</v>
          </cell>
        </row>
        <row r="451">
          <cell r="B451" t="str">
            <v>CT5312006</v>
          </cell>
          <cell r="C451">
            <v>21250</v>
          </cell>
          <cell r="D451">
            <v>1510</v>
          </cell>
          <cell r="E451">
            <v>22760</v>
          </cell>
          <cell r="F451">
            <v>6.6</v>
          </cell>
          <cell r="G451">
            <v>22660</v>
          </cell>
          <cell r="H451">
            <v>21290</v>
          </cell>
          <cell r="I451">
            <v>1370</v>
          </cell>
          <cell r="J451">
            <v>6.0459847894202623</v>
          </cell>
        </row>
        <row r="452">
          <cell r="B452" t="str">
            <v>CT5312007</v>
          </cell>
          <cell r="C452">
            <v>21230</v>
          </cell>
          <cell r="D452">
            <v>1530</v>
          </cell>
          <cell r="E452">
            <v>22760</v>
          </cell>
          <cell r="F452">
            <v>6.7</v>
          </cell>
          <cell r="G452">
            <v>22670</v>
          </cell>
          <cell r="H452">
            <v>21280</v>
          </cell>
          <cell r="I452">
            <v>1390</v>
          </cell>
          <cell r="J452">
            <v>6.1436005998059446</v>
          </cell>
        </row>
        <row r="453">
          <cell r="B453" t="str">
            <v>CT5312008</v>
          </cell>
          <cell r="C453" t="str">
            <v/>
          </cell>
          <cell r="D453" t="str">
            <v/>
          </cell>
          <cell r="E453" t="e">
            <v>#VALUE!</v>
          </cell>
          <cell r="F453" t="str">
            <v/>
          </cell>
          <cell r="G453" t="str">
            <v/>
          </cell>
          <cell r="H453" t="str">
            <v/>
          </cell>
          <cell r="I453" t="str">
            <v/>
          </cell>
          <cell r="J453" t="str">
            <v/>
          </cell>
        </row>
        <row r="454">
          <cell r="B454" t="str">
            <v>CT5312009</v>
          </cell>
          <cell r="C454" t="str">
            <v/>
          </cell>
          <cell r="D454" t="str">
            <v/>
          </cell>
          <cell r="E454" t="e">
            <v>#VALUE!</v>
          </cell>
          <cell r="F454" t="str">
            <v/>
          </cell>
          <cell r="G454" t="str">
            <v/>
          </cell>
          <cell r="H454" t="str">
            <v/>
          </cell>
          <cell r="I454" t="str">
            <v/>
          </cell>
          <cell r="J454" t="str">
            <v/>
          </cell>
        </row>
        <row r="455">
          <cell r="B455" t="str">
            <v>CT53120010</v>
          </cell>
          <cell r="C455" t="str">
            <v/>
          </cell>
          <cell r="D455" t="str">
            <v/>
          </cell>
          <cell r="E455" t="e">
            <v>#VALUE!</v>
          </cell>
          <cell r="F455" t="str">
            <v/>
          </cell>
          <cell r="G455" t="str">
            <v/>
          </cell>
          <cell r="H455" t="str">
            <v/>
          </cell>
          <cell r="I455" t="str">
            <v/>
          </cell>
          <cell r="J455" t="str">
            <v/>
          </cell>
        </row>
        <row r="456">
          <cell r="B456" t="str">
            <v>CT53120011</v>
          </cell>
          <cell r="C456" t="str">
            <v/>
          </cell>
          <cell r="D456" t="str">
            <v/>
          </cell>
          <cell r="E456" t="e">
            <v>#VALUE!</v>
          </cell>
          <cell r="F456" t="str">
            <v/>
          </cell>
          <cell r="G456" t="str">
            <v/>
          </cell>
          <cell r="H456" t="str">
            <v/>
          </cell>
          <cell r="I456" t="str">
            <v/>
          </cell>
          <cell r="J456" t="str">
            <v/>
          </cell>
        </row>
        <row r="457">
          <cell r="B457" t="str">
            <v>CT53120012</v>
          </cell>
          <cell r="C457" t="str">
            <v/>
          </cell>
          <cell r="D457" t="str">
            <v/>
          </cell>
          <cell r="E457" t="e">
            <v>#VALUE!</v>
          </cell>
          <cell r="F457" t="str">
            <v/>
          </cell>
          <cell r="G457" t="str">
            <v/>
          </cell>
          <cell r="H457" t="str">
            <v/>
          </cell>
          <cell r="I457" t="str">
            <v/>
          </cell>
          <cell r="J457" t="str">
            <v/>
          </cell>
        </row>
        <row r="458">
          <cell r="B458" t="str">
            <v>CT5311001</v>
          </cell>
          <cell r="C458">
            <v>13750</v>
          </cell>
          <cell r="D458">
            <v>1660</v>
          </cell>
          <cell r="E458">
            <v>15410</v>
          </cell>
          <cell r="F458">
            <v>10.8</v>
          </cell>
          <cell r="G458">
            <v>15410</v>
          </cell>
          <cell r="H458">
            <v>13750</v>
          </cell>
          <cell r="I458">
            <v>1660</v>
          </cell>
          <cell r="J458">
            <v>10.8</v>
          </cell>
        </row>
        <row r="459">
          <cell r="B459" t="str">
            <v>CT5311002</v>
          </cell>
          <cell r="C459">
            <v>13870</v>
          </cell>
          <cell r="D459">
            <v>1610</v>
          </cell>
          <cell r="E459">
            <v>15480</v>
          </cell>
          <cell r="F459">
            <v>10.4</v>
          </cell>
          <cell r="G459">
            <v>15450</v>
          </cell>
          <cell r="H459">
            <v>13810</v>
          </cell>
          <cell r="I459">
            <v>1640</v>
          </cell>
          <cell r="J459">
            <v>10.598899320168339</v>
          </cell>
        </row>
        <row r="460">
          <cell r="B460" t="str">
            <v>CT5311003</v>
          </cell>
          <cell r="C460">
            <v>13760</v>
          </cell>
          <cell r="D460">
            <v>1640</v>
          </cell>
          <cell r="E460">
            <v>15400</v>
          </cell>
          <cell r="F460">
            <v>10.6</v>
          </cell>
          <cell r="G460">
            <v>15430</v>
          </cell>
          <cell r="H460">
            <v>13790</v>
          </cell>
          <cell r="I460">
            <v>1640</v>
          </cell>
          <cell r="J460">
            <v>10.615683732987687</v>
          </cell>
        </row>
        <row r="461">
          <cell r="B461" t="str">
            <v>CT5311004</v>
          </cell>
          <cell r="C461">
            <v>13840</v>
          </cell>
          <cell r="D461">
            <v>1410</v>
          </cell>
          <cell r="E461">
            <v>15250</v>
          </cell>
          <cell r="F461">
            <v>9.3000000000000007</v>
          </cell>
          <cell r="G461">
            <v>15380</v>
          </cell>
          <cell r="H461">
            <v>13800</v>
          </cell>
          <cell r="I461">
            <v>1580</v>
          </cell>
          <cell r="J461">
            <v>10.279994149861059</v>
          </cell>
        </row>
        <row r="462">
          <cell r="B462" t="str">
            <v>CT5311005</v>
          </cell>
          <cell r="C462">
            <v>13810</v>
          </cell>
          <cell r="D462">
            <v>1440</v>
          </cell>
          <cell r="E462">
            <v>15250</v>
          </cell>
          <cell r="F462">
            <v>9.4</v>
          </cell>
          <cell r="G462">
            <v>15360</v>
          </cell>
          <cell r="H462">
            <v>13800</v>
          </cell>
          <cell r="I462">
            <v>1550</v>
          </cell>
          <cell r="J462">
            <v>10.10836437521165</v>
          </cell>
        </row>
        <row r="463">
          <cell r="B463" t="str">
            <v>CT5311006</v>
          </cell>
          <cell r="C463">
            <v>13750</v>
          </cell>
          <cell r="D463">
            <v>1520</v>
          </cell>
          <cell r="E463">
            <v>15270</v>
          </cell>
          <cell r="F463">
            <v>9.9</v>
          </cell>
          <cell r="G463">
            <v>15340</v>
          </cell>
          <cell r="H463">
            <v>13790</v>
          </cell>
          <cell r="I463">
            <v>1550</v>
          </cell>
          <cell r="J463">
            <v>10.079742737326988</v>
          </cell>
        </row>
        <row r="464">
          <cell r="B464" t="str">
            <v>CT5311007</v>
          </cell>
          <cell r="C464">
            <v>14060</v>
          </cell>
          <cell r="D464">
            <v>1460</v>
          </cell>
          <cell r="E464">
            <v>15520</v>
          </cell>
          <cell r="F464">
            <v>9.4</v>
          </cell>
          <cell r="G464">
            <v>15370</v>
          </cell>
          <cell r="H464">
            <v>13830</v>
          </cell>
          <cell r="I464">
            <v>1530</v>
          </cell>
          <cell r="J464">
            <v>9.9823354406842686</v>
          </cell>
        </row>
        <row r="465">
          <cell r="B465" t="str">
            <v>CT5311008</v>
          </cell>
          <cell r="C465" t="str">
            <v/>
          </cell>
          <cell r="D465" t="str">
            <v/>
          </cell>
          <cell r="E465" t="e">
            <v>#VALUE!</v>
          </cell>
          <cell r="F465" t="str">
            <v/>
          </cell>
          <cell r="G465" t="str">
            <v/>
          </cell>
          <cell r="H465" t="str">
            <v/>
          </cell>
          <cell r="I465" t="str">
            <v/>
          </cell>
          <cell r="J465" t="str">
            <v/>
          </cell>
        </row>
        <row r="466">
          <cell r="B466" t="str">
            <v>CT5311009</v>
          </cell>
          <cell r="C466" t="str">
            <v/>
          </cell>
          <cell r="D466" t="str">
            <v/>
          </cell>
          <cell r="E466" t="e">
            <v>#VALUE!</v>
          </cell>
          <cell r="F466" t="str">
            <v/>
          </cell>
          <cell r="G466" t="str">
            <v/>
          </cell>
          <cell r="H466" t="str">
            <v/>
          </cell>
          <cell r="I466" t="str">
            <v/>
          </cell>
          <cell r="J466" t="str">
            <v/>
          </cell>
        </row>
        <row r="467">
          <cell r="B467" t="str">
            <v>CT53110010</v>
          </cell>
          <cell r="C467" t="str">
            <v/>
          </cell>
          <cell r="D467" t="str">
            <v/>
          </cell>
          <cell r="E467" t="e">
            <v>#VALUE!</v>
          </cell>
          <cell r="F467" t="str">
            <v/>
          </cell>
          <cell r="G467" t="str">
            <v/>
          </cell>
          <cell r="H467" t="str">
            <v/>
          </cell>
          <cell r="I467" t="str">
            <v/>
          </cell>
          <cell r="J467" t="str">
            <v/>
          </cell>
        </row>
        <row r="468">
          <cell r="B468" t="str">
            <v>CT53110011</v>
          </cell>
          <cell r="C468" t="str">
            <v/>
          </cell>
          <cell r="D468" t="str">
            <v/>
          </cell>
          <cell r="E468" t="e">
            <v>#VALUE!</v>
          </cell>
          <cell r="F468" t="str">
            <v/>
          </cell>
          <cell r="G468" t="str">
            <v/>
          </cell>
          <cell r="H468" t="str">
            <v/>
          </cell>
          <cell r="I468" t="str">
            <v/>
          </cell>
          <cell r="J468" t="str">
            <v/>
          </cell>
        </row>
        <row r="469">
          <cell r="B469" t="str">
            <v>CT53110012</v>
          </cell>
          <cell r="C469" t="str">
            <v/>
          </cell>
          <cell r="D469" t="str">
            <v/>
          </cell>
          <cell r="E469" t="e">
            <v>#VALUE!</v>
          </cell>
          <cell r="F469" t="str">
            <v/>
          </cell>
          <cell r="G469" t="str">
            <v/>
          </cell>
          <cell r="H469" t="str">
            <v/>
          </cell>
          <cell r="I469" t="str">
            <v/>
          </cell>
          <cell r="J469" t="str">
            <v/>
          </cell>
        </row>
        <row r="470">
          <cell r="B470" t="str">
            <v>CT5310001</v>
          </cell>
          <cell r="C470">
            <v>16190</v>
          </cell>
          <cell r="D470">
            <v>1800</v>
          </cell>
          <cell r="E470">
            <v>17990</v>
          </cell>
          <cell r="F470">
            <v>10</v>
          </cell>
          <cell r="G470">
            <v>17990</v>
          </cell>
          <cell r="H470">
            <v>16190</v>
          </cell>
          <cell r="I470">
            <v>1800</v>
          </cell>
          <cell r="J470">
            <v>10</v>
          </cell>
        </row>
        <row r="471">
          <cell r="B471" t="str">
            <v>CT5310002</v>
          </cell>
          <cell r="C471">
            <v>16280</v>
          </cell>
          <cell r="D471">
            <v>1910</v>
          </cell>
          <cell r="E471">
            <v>18190</v>
          </cell>
          <cell r="F471">
            <v>10.5</v>
          </cell>
          <cell r="G471">
            <v>18090</v>
          </cell>
          <cell r="H471">
            <v>16240</v>
          </cell>
          <cell r="I471">
            <v>1850</v>
          </cell>
          <cell r="J471">
            <v>10.240464344941957</v>
          </cell>
        </row>
        <row r="472">
          <cell r="B472" t="str">
            <v>CT5310003</v>
          </cell>
          <cell r="C472">
            <v>16220</v>
          </cell>
          <cell r="D472">
            <v>1820</v>
          </cell>
          <cell r="E472">
            <v>18040</v>
          </cell>
          <cell r="F472">
            <v>10.1</v>
          </cell>
          <cell r="G472">
            <v>18080</v>
          </cell>
          <cell r="H472">
            <v>16230</v>
          </cell>
          <cell r="I472">
            <v>1840</v>
          </cell>
          <cell r="J472">
            <v>10.194371703610814</v>
          </cell>
        </row>
        <row r="473">
          <cell r="B473" t="str">
            <v>CT5310004</v>
          </cell>
          <cell r="C473">
            <v>16060</v>
          </cell>
          <cell r="D473">
            <v>1700</v>
          </cell>
          <cell r="E473">
            <v>17760</v>
          </cell>
          <cell r="F473">
            <v>9.6</v>
          </cell>
          <cell r="G473">
            <v>18000</v>
          </cell>
          <cell r="H473">
            <v>16190</v>
          </cell>
          <cell r="I473">
            <v>1810</v>
          </cell>
          <cell r="J473">
            <v>10.044450618141408</v>
          </cell>
        </row>
        <row r="474">
          <cell r="B474" t="str">
            <v>CT5310005</v>
          </cell>
          <cell r="C474">
            <v>16160</v>
          </cell>
          <cell r="D474">
            <v>1670</v>
          </cell>
          <cell r="E474">
            <v>17830</v>
          </cell>
          <cell r="F474">
            <v>9.3000000000000007</v>
          </cell>
          <cell r="G474">
            <v>17960</v>
          </cell>
          <cell r="H474">
            <v>16180</v>
          </cell>
          <cell r="I474">
            <v>1780</v>
          </cell>
          <cell r="J474">
            <v>9.905355751029953</v>
          </cell>
        </row>
        <row r="475">
          <cell r="B475" t="str">
            <v>CT5310006</v>
          </cell>
          <cell r="C475">
            <v>16140</v>
          </cell>
          <cell r="D475">
            <v>1840</v>
          </cell>
          <cell r="E475">
            <v>17980</v>
          </cell>
          <cell r="F475">
            <v>10.199999999999999</v>
          </cell>
          <cell r="G475">
            <v>17970</v>
          </cell>
          <cell r="H475">
            <v>16180</v>
          </cell>
          <cell r="I475">
            <v>1790</v>
          </cell>
          <cell r="J475">
            <v>9.9589951016773046</v>
          </cell>
        </row>
        <row r="476">
          <cell r="B476" t="str">
            <v>CT5310007</v>
          </cell>
          <cell r="C476">
            <v>16130</v>
          </cell>
          <cell r="D476">
            <v>1780</v>
          </cell>
          <cell r="E476">
            <v>17910</v>
          </cell>
          <cell r="F476">
            <v>9.9</v>
          </cell>
          <cell r="G476">
            <v>17960</v>
          </cell>
          <cell r="H476">
            <v>16170</v>
          </cell>
          <cell r="I476">
            <v>1790</v>
          </cell>
          <cell r="J476">
            <v>9.9546539379474943</v>
          </cell>
        </row>
        <row r="477">
          <cell r="B477" t="str">
            <v>CT5310008</v>
          </cell>
          <cell r="C477" t="str">
            <v/>
          </cell>
          <cell r="D477" t="str">
            <v/>
          </cell>
          <cell r="E477" t="e">
            <v>#VALUE!</v>
          </cell>
          <cell r="F477" t="str">
            <v/>
          </cell>
          <cell r="G477" t="str">
            <v/>
          </cell>
          <cell r="H477" t="str">
            <v/>
          </cell>
          <cell r="I477" t="str">
            <v/>
          </cell>
          <cell r="J477" t="str">
            <v/>
          </cell>
        </row>
        <row r="478">
          <cell r="B478" t="str">
            <v>CT5310009</v>
          </cell>
          <cell r="C478" t="str">
            <v/>
          </cell>
          <cell r="D478" t="str">
            <v/>
          </cell>
          <cell r="E478" t="e">
            <v>#VALUE!</v>
          </cell>
          <cell r="F478" t="str">
            <v/>
          </cell>
          <cell r="G478" t="str">
            <v/>
          </cell>
          <cell r="H478" t="str">
            <v/>
          </cell>
          <cell r="I478" t="str">
            <v/>
          </cell>
          <cell r="J478" t="str">
            <v/>
          </cell>
        </row>
        <row r="479">
          <cell r="B479" t="str">
            <v>CT53100010</v>
          </cell>
          <cell r="C479" t="str">
            <v/>
          </cell>
          <cell r="D479" t="str">
            <v/>
          </cell>
          <cell r="E479" t="e">
            <v>#VALUE!</v>
          </cell>
          <cell r="F479" t="str">
            <v/>
          </cell>
          <cell r="G479" t="str">
            <v/>
          </cell>
          <cell r="H479" t="str">
            <v/>
          </cell>
          <cell r="I479" t="str">
            <v/>
          </cell>
          <cell r="J479" t="str">
            <v/>
          </cell>
        </row>
        <row r="480">
          <cell r="B480" t="str">
            <v>CT53100011</v>
          </cell>
          <cell r="C480" t="str">
            <v/>
          </cell>
          <cell r="D480" t="str">
            <v/>
          </cell>
          <cell r="E480" t="e">
            <v>#VALUE!</v>
          </cell>
          <cell r="F480" t="str">
            <v/>
          </cell>
          <cell r="G480" t="str">
            <v/>
          </cell>
          <cell r="H480" t="str">
            <v/>
          </cell>
          <cell r="I480" t="str">
            <v/>
          </cell>
          <cell r="J480" t="str">
            <v/>
          </cell>
        </row>
        <row r="481">
          <cell r="B481" t="str">
            <v>CT53100012</v>
          </cell>
          <cell r="C481" t="str">
            <v/>
          </cell>
          <cell r="D481" t="str">
            <v/>
          </cell>
          <cell r="E481" t="e">
            <v>#VALUE!</v>
          </cell>
          <cell r="F481" t="str">
            <v/>
          </cell>
          <cell r="G481" t="str">
            <v/>
          </cell>
          <cell r="H481" t="str">
            <v/>
          </cell>
          <cell r="I481" t="str">
            <v/>
          </cell>
          <cell r="J481" t="str">
            <v/>
          </cell>
        </row>
        <row r="482">
          <cell r="B482" t="str">
            <v>CT5308501</v>
          </cell>
          <cell r="C482">
            <v>15460</v>
          </cell>
          <cell r="D482">
            <v>1280</v>
          </cell>
          <cell r="E482">
            <v>16740</v>
          </cell>
          <cell r="F482">
            <v>7.7</v>
          </cell>
          <cell r="G482">
            <v>16740</v>
          </cell>
          <cell r="H482">
            <v>15460</v>
          </cell>
          <cell r="I482">
            <v>1280</v>
          </cell>
          <cell r="J482">
            <v>7.7</v>
          </cell>
        </row>
        <row r="483">
          <cell r="B483" t="str">
            <v>CT5308502</v>
          </cell>
          <cell r="C483">
            <v>15350</v>
          </cell>
          <cell r="D483">
            <v>1310</v>
          </cell>
          <cell r="E483">
            <v>16660</v>
          </cell>
          <cell r="F483">
            <v>7.9</v>
          </cell>
          <cell r="G483">
            <v>16700</v>
          </cell>
          <cell r="H483">
            <v>15400</v>
          </cell>
          <cell r="I483">
            <v>1300</v>
          </cell>
          <cell r="J483">
            <v>7.7699263428947845</v>
          </cell>
        </row>
        <row r="484">
          <cell r="B484" t="str">
            <v>CT5308503</v>
          </cell>
          <cell r="C484">
            <v>15370</v>
          </cell>
          <cell r="D484">
            <v>1330</v>
          </cell>
          <cell r="E484">
            <v>16700</v>
          </cell>
          <cell r="F484">
            <v>8</v>
          </cell>
          <cell r="G484">
            <v>16700</v>
          </cell>
          <cell r="H484">
            <v>15390</v>
          </cell>
          <cell r="I484">
            <v>1310</v>
          </cell>
          <cell r="J484">
            <v>7.8344877143256344</v>
          </cell>
        </row>
        <row r="485">
          <cell r="B485" t="str">
            <v>CT5308504</v>
          </cell>
          <cell r="C485">
            <v>15340</v>
          </cell>
          <cell r="D485">
            <v>1230</v>
          </cell>
          <cell r="E485">
            <v>16570</v>
          </cell>
          <cell r="F485">
            <v>7.4</v>
          </cell>
          <cell r="G485">
            <v>16670</v>
          </cell>
          <cell r="H485">
            <v>15380</v>
          </cell>
          <cell r="I485">
            <v>1290</v>
          </cell>
          <cell r="J485">
            <v>7.7346491885892554</v>
          </cell>
        </row>
        <row r="486">
          <cell r="B486" t="str">
            <v>CT5308505</v>
          </cell>
          <cell r="C486">
            <v>15500</v>
          </cell>
          <cell r="D486">
            <v>1260</v>
          </cell>
          <cell r="E486">
            <v>16760</v>
          </cell>
          <cell r="F486">
            <v>7.5</v>
          </cell>
          <cell r="G486">
            <v>16690</v>
          </cell>
          <cell r="H486">
            <v>15400</v>
          </cell>
          <cell r="I486">
            <v>1280</v>
          </cell>
          <cell r="J486">
            <v>7.6876056236740862</v>
          </cell>
        </row>
        <row r="487">
          <cell r="B487" t="str">
            <v>CT5308506</v>
          </cell>
          <cell r="C487">
            <v>15200</v>
          </cell>
          <cell r="D487">
            <v>1330</v>
          </cell>
          <cell r="E487">
            <v>16530</v>
          </cell>
          <cell r="F487">
            <v>8.1</v>
          </cell>
          <cell r="G487">
            <v>16660</v>
          </cell>
          <cell r="H487">
            <v>15370</v>
          </cell>
          <cell r="I487">
            <v>1290</v>
          </cell>
          <cell r="J487">
            <v>7.7500225087784234</v>
          </cell>
        </row>
        <row r="488">
          <cell r="B488" t="str">
            <v>CT5308507</v>
          </cell>
          <cell r="C488">
            <v>14960</v>
          </cell>
          <cell r="D488">
            <v>1290</v>
          </cell>
          <cell r="E488">
            <v>16250</v>
          </cell>
          <cell r="F488">
            <v>7.9</v>
          </cell>
          <cell r="G488">
            <v>16600</v>
          </cell>
          <cell r="H488">
            <v>15310</v>
          </cell>
          <cell r="I488">
            <v>1290</v>
          </cell>
          <cell r="J488">
            <v>7.777758656295175</v>
          </cell>
        </row>
        <row r="489">
          <cell r="B489" t="str">
            <v>CT5308508</v>
          </cell>
          <cell r="C489" t="str">
            <v/>
          </cell>
          <cell r="D489" t="str">
            <v/>
          </cell>
          <cell r="E489" t="e">
            <v>#VALUE!</v>
          </cell>
          <cell r="F489" t="str">
            <v/>
          </cell>
          <cell r="G489" t="str">
            <v/>
          </cell>
          <cell r="H489" t="str">
            <v/>
          </cell>
          <cell r="I489" t="str">
            <v/>
          </cell>
          <cell r="J489" t="str">
            <v/>
          </cell>
        </row>
        <row r="490">
          <cell r="B490" t="str">
            <v>CT5308509</v>
          </cell>
          <cell r="C490" t="str">
            <v/>
          </cell>
          <cell r="D490" t="str">
            <v/>
          </cell>
          <cell r="E490" t="e">
            <v>#VALUE!</v>
          </cell>
          <cell r="F490" t="str">
            <v/>
          </cell>
          <cell r="G490" t="str">
            <v/>
          </cell>
          <cell r="H490" t="str">
            <v/>
          </cell>
          <cell r="I490" t="str">
            <v/>
          </cell>
          <cell r="J490" t="str">
            <v/>
          </cell>
        </row>
        <row r="491">
          <cell r="B491" t="str">
            <v>CT53085010</v>
          </cell>
          <cell r="C491" t="str">
            <v/>
          </cell>
          <cell r="D491" t="str">
            <v/>
          </cell>
          <cell r="E491" t="e">
            <v>#VALUE!</v>
          </cell>
          <cell r="F491" t="str">
            <v/>
          </cell>
          <cell r="G491" t="str">
            <v/>
          </cell>
          <cell r="H491" t="str">
            <v/>
          </cell>
          <cell r="I491" t="str">
            <v/>
          </cell>
          <cell r="J491" t="str">
            <v/>
          </cell>
        </row>
        <row r="492">
          <cell r="B492" t="str">
            <v>CT53085011</v>
          </cell>
          <cell r="C492" t="str">
            <v/>
          </cell>
          <cell r="D492" t="str">
            <v/>
          </cell>
          <cell r="E492" t="e">
            <v>#VALUE!</v>
          </cell>
          <cell r="F492" t="str">
            <v/>
          </cell>
          <cell r="G492" t="str">
            <v/>
          </cell>
          <cell r="H492" t="str">
            <v/>
          </cell>
          <cell r="I492" t="str">
            <v/>
          </cell>
          <cell r="J492" t="str">
            <v/>
          </cell>
        </row>
        <row r="493">
          <cell r="B493" t="str">
            <v>CT53085012</v>
          </cell>
          <cell r="C493" t="str">
            <v/>
          </cell>
          <cell r="D493" t="str">
            <v/>
          </cell>
          <cell r="E493" t="e">
            <v>#VALUE!</v>
          </cell>
          <cell r="F493" t="str">
            <v/>
          </cell>
          <cell r="G493" t="str">
            <v/>
          </cell>
          <cell r="H493" t="str">
            <v/>
          </cell>
          <cell r="I493" t="str">
            <v/>
          </cell>
          <cell r="J493" t="str">
            <v/>
          </cell>
        </row>
        <row r="494">
          <cell r="B494" t="str">
            <v>CT5308001</v>
          </cell>
          <cell r="C494">
            <v>42820</v>
          </cell>
          <cell r="D494">
            <v>4470</v>
          </cell>
          <cell r="E494">
            <v>47290</v>
          </cell>
          <cell r="F494">
            <v>9.5</v>
          </cell>
          <cell r="G494">
            <v>47290</v>
          </cell>
          <cell r="H494">
            <v>42820</v>
          </cell>
          <cell r="I494">
            <v>4470</v>
          </cell>
          <cell r="J494">
            <v>9.5</v>
          </cell>
        </row>
        <row r="495">
          <cell r="B495" t="str">
            <v>CT5308002</v>
          </cell>
          <cell r="C495">
            <v>43060</v>
          </cell>
          <cell r="D495">
            <v>4520</v>
          </cell>
          <cell r="E495">
            <v>47580</v>
          </cell>
          <cell r="F495">
            <v>9.5</v>
          </cell>
          <cell r="G495">
            <v>47430</v>
          </cell>
          <cell r="H495">
            <v>42940</v>
          </cell>
          <cell r="I495">
            <v>4500</v>
          </cell>
          <cell r="J495">
            <v>9.4772791955222466</v>
          </cell>
        </row>
        <row r="496">
          <cell r="B496" t="str">
            <v>CT5308003</v>
          </cell>
          <cell r="C496">
            <v>42900</v>
          </cell>
          <cell r="D496">
            <v>4570</v>
          </cell>
          <cell r="E496">
            <v>47470</v>
          </cell>
          <cell r="F496">
            <v>9.6</v>
          </cell>
          <cell r="G496">
            <v>47450</v>
          </cell>
          <cell r="H496">
            <v>42930</v>
          </cell>
          <cell r="I496">
            <v>4520</v>
          </cell>
          <cell r="J496">
            <v>9.5246459082733814</v>
          </cell>
        </row>
        <row r="497">
          <cell r="B497" t="str">
            <v>CT5308004</v>
          </cell>
          <cell r="C497">
            <v>42470</v>
          </cell>
          <cell r="D497">
            <v>4340</v>
          </cell>
          <cell r="E497">
            <v>46810</v>
          </cell>
          <cell r="F497">
            <v>9.3000000000000007</v>
          </cell>
          <cell r="G497">
            <v>47290</v>
          </cell>
          <cell r="H497">
            <v>42810</v>
          </cell>
          <cell r="I497">
            <v>4470</v>
          </cell>
          <cell r="J497">
            <v>9.4604168208685344</v>
          </cell>
        </row>
        <row r="498">
          <cell r="B498" t="str">
            <v>CT5308005</v>
          </cell>
          <cell r="C498">
            <v>42720</v>
          </cell>
          <cell r="D498">
            <v>4390</v>
          </cell>
          <cell r="E498">
            <v>47110</v>
          </cell>
          <cell r="F498">
            <v>9.3000000000000007</v>
          </cell>
          <cell r="G498">
            <v>47250</v>
          </cell>
          <cell r="H498">
            <v>42790</v>
          </cell>
          <cell r="I498">
            <v>4460</v>
          </cell>
          <cell r="J498">
            <v>9.4332515025818999</v>
          </cell>
        </row>
        <row r="499">
          <cell r="B499" t="str">
            <v>CT5308006</v>
          </cell>
          <cell r="C499">
            <v>42690</v>
          </cell>
          <cell r="D499">
            <v>4730</v>
          </cell>
          <cell r="E499">
            <v>47420</v>
          </cell>
          <cell r="F499">
            <v>10</v>
          </cell>
          <cell r="G499">
            <v>47280</v>
          </cell>
          <cell r="H499">
            <v>42780</v>
          </cell>
          <cell r="I499">
            <v>4500</v>
          </cell>
          <cell r="J499">
            <v>9.523473797756612</v>
          </cell>
        </row>
        <row r="500">
          <cell r="B500" t="str">
            <v>CT5308007</v>
          </cell>
          <cell r="C500">
            <v>42660</v>
          </cell>
          <cell r="D500">
            <v>4640</v>
          </cell>
          <cell r="E500">
            <v>47300</v>
          </cell>
          <cell r="F500">
            <v>9.8000000000000007</v>
          </cell>
          <cell r="G500">
            <v>47280</v>
          </cell>
          <cell r="H500">
            <v>42760</v>
          </cell>
          <cell r="I500">
            <v>4520</v>
          </cell>
          <cell r="J500">
            <v>9.564799651936406</v>
          </cell>
        </row>
        <row r="501">
          <cell r="B501" t="str">
            <v>CT5308008</v>
          </cell>
          <cell r="C501" t="str">
            <v/>
          </cell>
          <cell r="D501" t="str">
            <v/>
          </cell>
          <cell r="E501" t="e">
            <v>#VALUE!</v>
          </cell>
          <cell r="F501" t="str">
            <v/>
          </cell>
          <cell r="G501" t="str">
            <v/>
          </cell>
          <cell r="H501" t="str">
            <v/>
          </cell>
          <cell r="I501" t="str">
            <v/>
          </cell>
          <cell r="J501" t="str">
            <v/>
          </cell>
        </row>
        <row r="502">
          <cell r="B502" t="str">
            <v>CT5308009</v>
          </cell>
          <cell r="C502" t="str">
            <v/>
          </cell>
          <cell r="D502" t="str">
            <v/>
          </cell>
          <cell r="E502" t="e">
            <v>#VALUE!</v>
          </cell>
          <cell r="F502" t="str">
            <v/>
          </cell>
          <cell r="G502" t="str">
            <v/>
          </cell>
          <cell r="H502" t="str">
            <v/>
          </cell>
          <cell r="I502" t="str">
            <v/>
          </cell>
          <cell r="J502" t="str">
            <v/>
          </cell>
        </row>
        <row r="503">
          <cell r="B503" t="str">
            <v>CT53080010</v>
          </cell>
          <cell r="C503" t="str">
            <v/>
          </cell>
          <cell r="D503" t="str">
            <v/>
          </cell>
          <cell r="E503" t="e">
            <v>#VALUE!</v>
          </cell>
          <cell r="F503" t="str">
            <v/>
          </cell>
          <cell r="G503" t="str">
            <v/>
          </cell>
          <cell r="H503" t="str">
            <v/>
          </cell>
          <cell r="I503" t="str">
            <v/>
          </cell>
          <cell r="J503" t="str">
            <v/>
          </cell>
        </row>
        <row r="504">
          <cell r="B504" t="str">
            <v>CT53080011</v>
          </cell>
          <cell r="C504" t="str">
            <v/>
          </cell>
          <cell r="D504" t="str">
            <v/>
          </cell>
          <cell r="E504" t="e">
            <v>#VALUE!</v>
          </cell>
          <cell r="F504" t="str">
            <v/>
          </cell>
          <cell r="G504" t="str">
            <v/>
          </cell>
          <cell r="H504" t="str">
            <v/>
          </cell>
          <cell r="I504" t="str">
            <v/>
          </cell>
          <cell r="J504" t="str">
            <v/>
          </cell>
        </row>
        <row r="505">
          <cell r="B505" t="str">
            <v>CT53080012</v>
          </cell>
          <cell r="C505" t="str">
            <v/>
          </cell>
          <cell r="D505" t="str">
            <v/>
          </cell>
          <cell r="E505" t="e">
            <v>#VALUE!</v>
          </cell>
          <cell r="F505" t="str">
            <v/>
          </cell>
          <cell r="G505" t="str">
            <v/>
          </cell>
          <cell r="H505" t="str">
            <v/>
          </cell>
          <cell r="I505" t="str">
            <v/>
          </cell>
          <cell r="J505" t="str">
            <v/>
          </cell>
        </row>
        <row r="506">
          <cell r="B506" t="str">
            <v>CT5307601</v>
          </cell>
          <cell r="C506">
            <v>16840</v>
          </cell>
          <cell r="D506">
            <v>1880</v>
          </cell>
          <cell r="E506">
            <v>18720</v>
          </cell>
          <cell r="F506">
            <v>10</v>
          </cell>
          <cell r="G506">
            <v>18730</v>
          </cell>
          <cell r="H506">
            <v>16840</v>
          </cell>
          <cell r="I506">
            <v>1880</v>
          </cell>
          <cell r="J506">
            <v>10</v>
          </cell>
        </row>
        <row r="507">
          <cell r="B507" t="str">
            <v>CT5307602</v>
          </cell>
          <cell r="C507">
            <v>16940</v>
          </cell>
          <cell r="D507">
            <v>2010</v>
          </cell>
          <cell r="E507">
            <v>18950</v>
          </cell>
          <cell r="F507">
            <v>10.6</v>
          </cell>
          <cell r="G507">
            <v>18830</v>
          </cell>
          <cell r="H507">
            <v>16890</v>
          </cell>
          <cell r="I507">
            <v>1940</v>
          </cell>
          <cell r="J507">
            <v>10.318829807003107</v>
          </cell>
        </row>
        <row r="508">
          <cell r="B508" t="str">
            <v>CT5307603</v>
          </cell>
          <cell r="C508">
            <v>16880</v>
          </cell>
          <cell r="D508">
            <v>1870</v>
          </cell>
          <cell r="E508">
            <v>18750</v>
          </cell>
          <cell r="F508">
            <v>10</v>
          </cell>
          <cell r="G508">
            <v>18810</v>
          </cell>
          <cell r="H508">
            <v>16890</v>
          </cell>
          <cell r="I508">
            <v>1920</v>
          </cell>
          <cell r="J508">
            <v>10.204732783834086</v>
          </cell>
        </row>
        <row r="509">
          <cell r="B509" t="str">
            <v>CT5307604</v>
          </cell>
          <cell r="C509">
            <v>16710</v>
          </cell>
          <cell r="D509">
            <v>1720</v>
          </cell>
          <cell r="E509">
            <v>18430</v>
          </cell>
          <cell r="F509">
            <v>9.3000000000000007</v>
          </cell>
          <cell r="G509">
            <v>18710</v>
          </cell>
          <cell r="H509">
            <v>16840</v>
          </cell>
          <cell r="I509">
            <v>1870</v>
          </cell>
          <cell r="J509">
            <v>9.993854046976459</v>
          </cell>
        </row>
        <row r="510">
          <cell r="B510" t="str">
            <v>CT5307605</v>
          </cell>
          <cell r="C510">
            <v>16810</v>
          </cell>
          <cell r="D510">
            <v>1730</v>
          </cell>
          <cell r="E510">
            <v>18540</v>
          </cell>
          <cell r="F510">
            <v>9.3000000000000007</v>
          </cell>
          <cell r="G510">
            <v>18680</v>
          </cell>
          <cell r="H510">
            <v>16830</v>
          </cell>
          <cell r="I510">
            <v>1840</v>
          </cell>
          <cell r="J510">
            <v>9.8589588442550085</v>
          </cell>
        </row>
        <row r="511">
          <cell r="B511" t="str">
            <v>CT5307606</v>
          </cell>
          <cell r="C511">
            <v>16790</v>
          </cell>
          <cell r="D511">
            <v>1920</v>
          </cell>
          <cell r="E511">
            <v>18710</v>
          </cell>
          <cell r="F511">
            <v>10.199999999999999</v>
          </cell>
          <cell r="G511">
            <v>18680</v>
          </cell>
          <cell r="H511">
            <v>16830</v>
          </cell>
          <cell r="I511">
            <v>1850</v>
          </cell>
          <cell r="J511">
            <v>9.923541534700723</v>
          </cell>
        </row>
        <row r="512">
          <cell r="B512" t="str">
            <v>CT5307607</v>
          </cell>
          <cell r="C512">
            <v>16780</v>
          </cell>
          <cell r="D512">
            <v>1930</v>
          </cell>
          <cell r="E512">
            <v>18710</v>
          </cell>
          <cell r="F512">
            <v>10.3</v>
          </cell>
          <cell r="G512">
            <v>18690</v>
          </cell>
          <cell r="H512">
            <v>16820</v>
          </cell>
          <cell r="I512">
            <v>1870</v>
          </cell>
          <cell r="J512">
            <v>9.9810394654352521</v>
          </cell>
        </row>
        <row r="513">
          <cell r="B513" t="str">
            <v>CT5307608</v>
          </cell>
          <cell r="C513" t="str">
            <v/>
          </cell>
          <cell r="D513" t="str">
            <v/>
          </cell>
          <cell r="E513" t="e">
            <v>#VALUE!</v>
          </cell>
          <cell r="F513" t="str">
            <v/>
          </cell>
          <cell r="G513" t="str">
            <v/>
          </cell>
          <cell r="H513" t="str">
            <v/>
          </cell>
          <cell r="I513" t="str">
            <v/>
          </cell>
          <cell r="J513" t="str">
            <v/>
          </cell>
        </row>
        <row r="514">
          <cell r="B514" t="str">
            <v>CT5307609</v>
          </cell>
          <cell r="C514" t="str">
            <v/>
          </cell>
          <cell r="D514" t="str">
            <v/>
          </cell>
          <cell r="E514" t="e">
            <v>#VALUE!</v>
          </cell>
          <cell r="F514" t="str">
            <v/>
          </cell>
          <cell r="G514" t="str">
            <v/>
          </cell>
          <cell r="H514" t="str">
            <v/>
          </cell>
          <cell r="I514" t="str">
            <v/>
          </cell>
          <cell r="J514" t="str">
            <v/>
          </cell>
        </row>
        <row r="515">
          <cell r="B515" t="str">
            <v>CT53076010</v>
          </cell>
          <cell r="C515" t="str">
            <v/>
          </cell>
          <cell r="D515" t="str">
            <v/>
          </cell>
          <cell r="E515" t="e">
            <v>#VALUE!</v>
          </cell>
          <cell r="F515" t="str">
            <v/>
          </cell>
          <cell r="G515" t="str">
            <v/>
          </cell>
          <cell r="H515" t="str">
            <v/>
          </cell>
          <cell r="I515" t="str">
            <v/>
          </cell>
          <cell r="J515" t="str">
            <v/>
          </cell>
        </row>
        <row r="516">
          <cell r="B516" t="str">
            <v>CT53076011</v>
          </cell>
          <cell r="C516" t="str">
            <v/>
          </cell>
          <cell r="D516" t="str">
            <v/>
          </cell>
          <cell r="E516" t="e">
            <v>#VALUE!</v>
          </cell>
          <cell r="F516" t="str">
            <v/>
          </cell>
          <cell r="G516" t="str">
            <v/>
          </cell>
          <cell r="H516" t="str">
            <v/>
          </cell>
          <cell r="I516" t="str">
            <v/>
          </cell>
          <cell r="J516" t="str">
            <v/>
          </cell>
        </row>
        <row r="517">
          <cell r="B517" t="str">
            <v>CT53076012</v>
          </cell>
          <cell r="C517" t="str">
            <v/>
          </cell>
          <cell r="D517" t="str">
            <v/>
          </cell>
          <cell r="E517" t="e">
            <v>#VALUE!</v>
          </cell>
          <cell r="F517" t="str">
            <v/>
          </cell>
          <cell r="G517" t="str">
            <v/>
          </cell>
          <cell r="H517" t="str">
            <v/>
          </cell>
          <cell r="I517" t="str">
            <v/>
          </cell>
          <cell r="J517" t="str">
            <v/>
          </cell>
        </row>
        <row r="518">
          <cell r="B518" t="str">
            <v>CT5307501</v>
          </cell>
          <cell r="C518">
            <v>29770</v>
          </cell>
          <cell r="D518">
            <v>2280</v>
          </cell>
          <cell r="E518">
            <v>32050</v>
          </cell>
          <cell r="F518">
            <v>7.1</v>
          </cell>
          <cell r="G518">
            <v>32050</v>
          </cell>
          <cell r="H518">
            <v>29770</v>
          </cell>
          <cell r="I518">
            <v>2280</v>
          </cell>
          <cell r="J518">
            <v>7.1</v>
          </cell>
        </row>
        <row r="519">
          <cell r="B519" t="str">
            <v>CT5307502</v>
          </cell>
          <cell r="C519">
            <v>29930</v>
          </cell>
          <cell r="D519">
            <v>2360</v>
          </cell>
          <cell r="E519">
            <v>32290</v>
          </cell>
          <cell r="F519">
            <v>7.3</v>
          </cell>
          <cell r="G519">
            <v>32170</v>
          </cell>
          <cell r="H519">
            <v>29850</v>
          </cell>
          <cell r="I519">
            <v>2320</v>
          </cell>
          <cell r="J519">
            <v>7.214460003419175</v>
          </cell>
        </row>
        <row r="520">
          <cell r="B520" t="str">
            <v>CT5307503</v>
          </cell>
          <cell r="C520">
            <v>29820</v>
          </cell>
          <cell r="D520">
            <v>2280</v>
          </cell>
          <cell r="E520">
            <v>32100</v>
          </cell>
          <cell r="F520">
            <v>7.1</v>
          </cell>
          <cell r="G520">
            <v>32150</v>
          </cell>
          <cell r="H520">
            <v>29840</v>
          </cell>
          <cell r="I520">
            <v>2310</v>
          </cell>
          <cell r="J520">
            <v>7.1731489066080485</v>
          </cell>
        </row>
        <row r="521">
          <cell r="B521" t="str">
            <v>CT5307504</v>
          </cell>
          <cell r="C521">
            <v>29530</v>
          </cell>
          <cell r="D521">
            <v>2040</v>
          </cell>
          <cell r="E521">
            <v>31570</v>
          </cell>
          <cell r="F521">
            <v>6.5</v>
          </cell>
          <cell r="G521">
            <v>32000</v>
          </cell>
          <cell r="H521">
            <v>29760</v>
          </cell>
          <cell r="I521">
            <v>2240</v>
          </cell>
          <cell r="J521">
            <v>6.9993984891923349</v>
          </cell>
        </row>
        <row r="522">
          <cell r="B522" t="str">
            <v>CT5307505</v>
          </cell>
          <cell r="C522">
            <v>29700</v>
          </cell>
          <cell r="D522">
            <v>2020</v>
          </cell>
          <cell r="E522">
            <v>31720</v>
          </cell>
          <cell r="F522">
            <v>6.4</v>
          </cell>
          <cell r="G522">
            <v>31950</v>
          </cell>
          <cell r="H522">
            <v>29750</v>
          </cell>
          <cell r="I522">
            <v>2200</v>
          </cell>
          <cell r="J522">
            <v>6.8752660706683688</v>
          </cell>
        </row>
        <row r="523">
          <cell r="B523" t="str">
            <v>CT5307506</v>
          </cell>
          <cell r="C523">
            <v>29680</v>
          </cell>
          <cell r="D523">
            <v>2320</v>
          </cell>
          <cell r="E523">
            <v>32000</v>
          </cell>
          <cell r="F523">
            <v>7.2</v>
          </cell>
          <cell r="G523">
            <v>31950</v>
          </cell>
          <cell r="H523">
            <v>29740</v>
          </cell>
          <cell r="I523">
            <v>2220</v>
          </cell>
          <cell r="J523">
            <v>6.9369829861364654</v>
          </cell>
        </row>
        <row r="524">
          <cell r="B524" t="str">
            <v>CT5307507</v>
          </cell>
          <cell r="C524">
            <v>29650</v>
          </cell>
          <cell r="D524">
            <v>2230</v>
          </cell>
          <cell r="E524">
            <v>31880</v>
          </cell>
          <cell r="F524">
            <v>7</v>
          </cell>
          <cell r="G524">
            <v>31940</v>
          </cell>
          <cell r="H524">
            <v>29730</v>
          </cell>
          <cell r="I524">
            <v>2220</v>
          </cell>
          <cell r="J524">
            <v>6.9464071695615619</v>
          </cell>
        </row>
        <row r="525">
          <cell r="B525" t="str">
            <v>CT5307508</v>
          </cell>
          <cell r="C525" t="str">
            <v/>
          </cell>
          <cell r="D525" t="str">
            <v/>
          </cell>
          <cell r="E525" t="e">
            <v>#VALUE!</v>
          </cell>
          <cell r="F525" t="str">
            <v/>
          </cell>
          <cell r="G525" t="str">
            <v/>
          </cell>
          <cell r="H525" t="str">
            <v/>
          </cell>
          <cell r="I525" t="str">
            <v/>
          </cell>
          <cell r="J525" t="str">
            <v/>
          </cell>
        </row>
        <row r="526">
          <cell r="B526" t="str">
            <v>CT5307509</v>
          </cell>
          <cell r="C526" t="str">
            <v/>
          </cell>
          <cell r="D526" t="str">
            <v/>
          </cell>
          <cell r="E526" t="e">
            <v>#VALUE!</v>
          </cell>
          <cell r="F526" t="str">
            <v/>
          </cell>
          <cell r="G526" t="str">
            <v/>
          </cell>
          <cell r="H526" t="str">
            <v/>
          </cell>
          <cell r="I526" t="str">
            <v/>
          </cell>
          <cell r="J526" t="str">
            <v/>
          </cell>
        </row>
        <row r="527">
          <cell r="B527" t="str">
            <v>CT53075010</v>
          </cell>
          <cell r="C527" t="str">
            <v/>
          </cell>
          <cell r="D527" t="str">
            <v/>
          </cell>
          <cell r="E527" t="e">
            <v>#VALUE!</v>
          </cell>
          <cell r="F527" t="str">
            <v/>
          </cell>
          <cell r="G527" t="str">
            <v/>
          </cell>
          <cell r="H527" t="str">
            <v/>
          </cell>
          <cell r="I527" t="str">
            <v/>
          </cell>
          <cell r="J527" t="str">
            <v/>
          </cell>
        </row>
        <row r="528">
          <cell r="B528" t="str">
            <v>CT53075011</v>
          </cell>
          <cell r="C528" t="str">
            <v/>
          </cell>
          <cell r="D528" t="str">
            <v/>
          </cell>
          <cell r="E528" t="e">
            <v>#VALUE!</v>
          </cell>
          <cell r="F528" t="str">
            <v/>
          </cell>
          <cell r="G528" t="str">
            <v/>
          </cell>
          <cell r="H528" t="str">
            <v/>
          </cell>
          <cell r="I528" t="str">
            <v/>
          </cell>
          <cell r="J528" t="str">
            <v/>
          </cell>
        </row>
        <row r="529">
          <cell r="B529" t="str">
            <v>CT53075012</v>
          </cell>
          <cell r="C529" t="str">
            <v/>
          </cell>
          <cell r="D529" t="str">
            <v/>
          </cell>
          <cell r="E529" t="e">
            <v>#VALUE!</v>
          </cell>
          <cell r="F529" t="str">
            <v/>
          </cell>
          <cell r="G529" t="str">
            <v/>
          </cell>
          <cell r="H529" t="str">
            <v/>
          </cell>
          <cell r="I529" t="str">
            <v/>
          </cell>
          <cell r="J529" t="str">
            <v/>
          </cell>
        </row>
        <row r="530">
          <cell r="B530" t="str">
            <v>CT5307001</v>
          </cell>
          <cell r="C530">
            <v>36480</v>
          </cell>
          <cell r="D530">
            <v>3920</v>
          </cell>
          <cell r="E530">
            <v>40400</v>
          </cell>
          <cell r="F530">
            <v>9.6999999999999993</v>
          </cell>
          <cell r="G530">
            <v>40400</v>
          </cell>
          <cell r="H530">
            <v>36480</v>
          </cell>
          <cell r="I530">
            <v>3920</v>
          </cell>
          <cell r="J530">
            <v>9.6999999999999993</v>
          </cell>
        </row>
        <row r="531">
          <cell r="B531" t="str">
            <v>CT5307002</v>
          </cell>
          <cell r="C531">
            <v>36890</v>
          </cell>
          <cell r="D531">
            <v>4100</v>
          </cell>
          <cell r="E531">
            <v>40990</v>
          </cell>
          <cell r="F531">
            <v>10</v>
          </cell>
          <cell r="G531">
            <v>40690</v>
          </cell>
          <cell r="H531">
            <v>36690</v>
          </cell>
          <cell r="I531">
            <v>4010</v>
          </cell>
          <cell r="J531">
            <v>9.8469024156488825</v>
          </cell>
        </row>
        <row r="532">
          <cell r="B532" t="str">
            <v>CT5307003</v>
          </cell>
          <cell r="C532">
            <v>36890</v>
          </cell>
          <cell r="D532">
            <v>4120</v>
          </cell>
          <cell r="E532">
            <v>41010</v>
          </cell>
          <cell r="F532">
            <v>10.1</v>
          </cell>
          <cell r="G532">
            <v>40800</v>
          </cell>
          <cell r="H532">
            <v>36750</v>
          </cell>
          <cell r="I532">
            <v>4050</v>
          </cell>
          <cell r="J532">
            <v>9.9161737311676852</v>
          </cell>
        </row>
        <row r="533">
          <cell r="B533" t="str">
            <v>CT5307004</v>
          </cell>
          <cell r="C533">
            <v>36780</v>
          </cell>
          <cell r="D533">
            <v>3910</v>
          </cell>
          <cell r="E533">
            <v>40690</v>
          </cell>
          <cell r="F533">
            <v>9.6</v>
          </cell>
          <cell r="G533">
            <v>40770</v>
          </cell>
          <cell r="H533">
            <v>36760</v>
          </cell>
          <cell r="I533">
            <v>4010</v>
          </cell>
          <cell r="J533">
            <v>9.8377543136749921</v>
          </cell>
        </row>
        <row r="534">
          <cell r="B534" t="str">
            <v>CT5307005</v>
          </cell>
          <cell r="C534">
            <v>37280</v>
          </cell>
          <cell r="D534">
            <v>4070</v>
          </cell>
          <cell r="E534">
            <v>41350</v>
          </cell>
          <cell r="F534">
            <v>9.8000000000000007</v>
          </cell>
          <cell r="G534">
            <v>40890</v>
          </cell>
          <cell r="H534">
            <v>36860</v>
          </cell>
          <cell r="I534">
            <v>4020</v>
          </cell>
          <cell r="J534">
            <v>9.8390165875038527</v>
          </cell>
        </row>
        <row r="535">
          <cell r="B535" t="str">
            <v>CT5307006</v>
          </cell>
          <cell r="C535">
            <v>39560</v>
          </cell>
          <cell r="D535">
            <v>4400</v>
          </cell>
          <cell r="E535">
            <v>43960</v>
          </cell>
          <cell r="F535">
            <v>10</v>
          </cell>
          <cell r="G535">
            <v>41400</v>
          </cell>
          <cell r="H535">
            <v>37310</v>
          </cell>
          <cell r="I535">
            <v>4090</v>
          </cell>
          <cell r="J535">
            <v>9.8707280054430324</v>
          </cell>
        </row>
        <row r="536">
          <cell r="B536" t="str">
            <v>CT5307007</v>
          </cell>
          <cell r="C536">
            <v>41210</v>
          </cell>
          <cell r="D536">
            <v>3780</v>
          </cell>
          <cell r="E536">
            <v>44990</v>
          </cell>
          <cell r="F536">
            <v>8.4</v>
          </cell>
          <cell r="G536">
            <v>41910</v>
          </cell>
          <cell r="H536">
            <v>37870</v>
          </cell>
          <cell r="I536">
            <v>4040</v>
          </cell>
          <cell r="J536">
            <v>9.6438066671211402</v>
          </cell>
        </row>
        <row r="537">
          <cell r="B537" t="str">
            <v>CT5307008</v>
          </cell>
          <cell r="C537" t="str">
            <v/>
          </cell>
          <cell r="D537" t="str">
            <v/>
          </cell>
          <cell r="E537" t="e">
            <v>#VALUE!</v>
          </cell>
          <cell r="F537" t="str">
            <v/>
          </cell>
          <cell r="G537" t="str">
            <v/>
          </cell>
          <cell r="H537" t="str">
            <v/>
          </cell>
          <cell r="I537" t="str">
            <v/>
          </cell>
          <cell r="J537" t="str">
            <v/>
          </cell>
        </row>
        <row r="538">
          <cell r="B538" t="str">
            <v>CT5307009</v>
          </cell>
          <cell r="C538" t="str">
            <v/>
          </cell>
          <cell r="D538" t="str">
            <v/>
          </cell>
          <cell r="E538" t="e">
            <v>#VALUE!</v>
          </cell>
          <cell r="F538" t="str">
            <v/>
          </cell>
          <cell r="G538" t="str">
            <v/>
          </cell>
          <cell r="H538" t="str">
            <v/>
          </cell>
          <cell r="I538" t="str">
            <v/>
          </cell>
          <cell r="J538" t="str">
            <v/>
          </cell>
        </row>
        <row r="539">
          <cell r="B539" t="str">
            <v>CT53070010</v>
          </cell>
          <cell r="C539" t="str">
            <v/>
          </cell>
          <cell r="D539" t="str">
            <v/>
          </cell>
          <cell r="E539" t="e">
            <v>#VALUE!</v>
          </cell>
          <cell r="F539" t="str">
            <v/>
          </cell>
          <cell r="G539" t="str">
            <v/>
          </cell>
          <cell r="H539" t="str">
            <v/>
          </cell>
          <cell r="I539" t="str">
            <v/>
          </cell>
          <cell r="J539" t="str">
            <v/>
          </cell>
        </row>
        <row r="540">
          <cell r="B540" t="str">
            <v>CT53070011</v>
          </cell>
          <cell r="C540" t="str">
            <v/>
          </cell>
          <cell r="D540" t="str">
            <v/>
          </cell>
          <cell r="E540" t="e">
            <v>#VALUE!</v>
          </cell>
          <cell r="F540" t="str">
            <v/>
          </cell>
          <cell r="G540" t="str">
            <v/>
          </cell>
          <cell r="H540" t="str">
            <v/>
          </cell>
          <cell r="I540" t="str">
            <v/>
          </cell>
          <cell r="J540" t="str">
            <v/>
          </cell>
        </row>
        <row r="541">
          <cell r="B541" t="str">
            <v>CT53070012</v>
          </cell>
          <cell r="C541" t="str">
            <v/>
          </cell>
          <cell r="D541" t="str">
            <v/>
          </cell>
          <cell r="E541" t="e">
            <v>#VALUE!</v>
          </cell>
          <cell r="F541" t="str">
            <v/>
          </cell>
          <cell r="G541" t="str">
            <v/>
          </cell>
          <cell r="H541" t="str">
            <v/>
          </cell>
          <cell r="I541" t="str">
            <v/>
          </cell>
          <cell r="J541" t="str">
            <v/>
          </cell>
        </row>
        <row r="542">
          <cell r="B542" t="str">
            <v>CT5306501</v>
          </cell>
          <cell r="C542">
            <v>13250</v>
          </cell>
          <cell r="D542">
            <v>1370</v>
          </cell>
          <cell r="E542">
            <v>14620</v>
          </cell>
          <cell r="F542">
            <v>9.4</v>
          </cell>
          <cell r="G542">
            <v>14620</v>
          </cell>
          <cell r="H542">
            <v>13250</v>
          </cell>
          <cell r="I542">
            <v>1370</v>
          </cell>
          <cell r="J542">
            <v>9.4</v>
          </cell>
        </row>
        <row r="543">
          <cell r="B543" t="str">
            <v>CT5306502</v>
          </cell>
          <cell r="C543">
            <v>13440</v>
          </cell>
          <cell r="D543">
            <v>1330</v>
          </cell>
          <cell r="E543">
            <v>14770</v>
          </cell>
          <cell r="F543">
            <v>9</v>
          </cell>
          <cell r="G543">
            <v>14700</v>
          </cell>
          <cell r="H543">
            <v>13350</v>
          </cell>
          <cell r="I543">
            <v>1350</v>
          </cell>
          <cell r="J543">
            <v>9.1827708219923796</v>
          </cell>
        </row>
        <row r="544">
          <cell r="B544" t="str">
            <v>CT5306503</v>
          </cell>
          <cell r="C544">
            <v>13670</v>
          </cell>
          <cell r="D544">
            <v>1350</v>
          </cell>
          <cell r="E544">
            <v>15020</v>
          </cell>
          <cell r="F544">
            <v>9</v>
          </cell>
          <cell r="G544">
            <v>14800</v>
          </cell>
          <cell r="H544">
            <v>13450</v>
          </cell>
          <cell r="I544">
            <v>1350</v>
          </cell>
          <cell r="J544">
            <v>9.1236602719985598</v>
          </cell>
        </row>
        <row r="545">
          <cell r="B545" t="str">
            <v>CT5306504</v>
          </cell>
          <cell r="C545">
            <v>13700</v>
          </cell>
          <cell r="D545">
            <v>1180</v>
          </cell>
          <cell r="E545">
            <v>14880</v>
          </cell>
          <cell r="F545">
            <v>7.9</v>
          </cell>
          <cell r="G545">
            <v>14820</v>
          </cell>
          <cell r="H545">
            <v>13520</v>
          </cell>
          <cell r="I545">
            <v>1310</v>
          </cell>
          <cell r="J545">
            <v>8.8269023205612509</v>
          </cell>
        </row>
        <row r="546">
          <cell r="B546" t="str">
            <v>CT5306505</v>
          </cell>
          <cell r="C546">
            <v>13910</v>
          </cell>
          <cell r="D546">
            <v>1240</v>
          </cell>
          <cell r="E546">
            <v>15150</v>
          </cell>
          <cell r="F546">
            <v>8.1999999999999993</v>
          </cell>
          <cell r="G546">
            <v>14890</v>
          </cell>
          <cell r="H546">
            <v>13590</v>
          </cell>
          <cell r="I546">
            <v>1300</v>
          </cell>
          <cell r="J546">
            <v>8.6976962858486129</v>
          </cell>
        </row>
        <row r="547">
          <cell r="B547" t="str">
            <v>CT5306506</v>
          </cell>
          <cell r="C547">
            <v>14170</v>
          </cell>
          <cell r="D547">
            <v>1230</v>
          </cell>
          <cell r="E547">
            <v>15400</v>
          </cell>
          <cell r="F547">
            <v>8</v>
          </cell>
          <cell r="G547">
            <v>14970</v>
          </cell>
          <cell r="H547">
            <v>13690</v>
          </cell>
          <cell r="I547">
            <v>1280</v>
          </cell>
          <cell r="J547">
            <v>8.572191858588333</v>
          </cell>
        </row>
        <row r="548">
          <cell r="B548" t="str">
            <v>CT5306507</v>
          </cell>
          <cell r="C548">
            <v>13950</v>
          </cell>
          <cell r="D548">
            <v>1130</v>
          </cell>
          <cell r="E548">
            <v>15080</v>
          </cell>
          <cell r="F548">
            <v>7.5</v>
          </cell>
          <cell r="G548">
            <v>14990</v>
          </cell>
          <cell r="H548">
            <v>13730</v>
          </cell>
          <cell r="I548">
            <v>1260</v>
          </cell>
          <cell r="J548">
            <v>8.4182433398465424</v>
          </cell>
        </row>
        <row r="549">
          <cell r="B549" t="str">
            <v>CT5306508</v>
          </cell>
          <cell r="C549" t="str">
            <v/>
          </cell>
          <cell r="D549" t="str">
            <v/>
          </cell>
          <cell r="E549" t="e">
            <v>#VALUE!</v>
          </cell>
          <cell r="F549" t="str">
            <v/>
          </cell>
          <cell r="G549" t="str">
            <v/>
          </cell>
          <cell r="H549" t="str">
            <v/>
          </cell>
          <cell r="I549" t="str">
            <v/>
          </cell>
          <cell r="J549" t="str">
            <v/>
          </cell>
        </row>
        <row r="550">
          <cell r="B550" t="str">
            <v>CT5306509</v>
          </cell>
          <cell r="C550" t="str">
            <v/>
          </cell>
          <cell r="D550" t="str">
            <v/>
          </cell>
          <cell r="E550" t="e">
            <v>#VALUE!</v>
          </cell>
          <cell r="F550" t="str">
            <v/>
          </cell>
          <cell r="G550" t="str">
            <v/>
          </cell>
          <cell r="H550" t="str">
            <v/>
          </cell>
          <cell r="I550" t="str">
            <v/>
          </cell>
          <cell r="J550" t="str">
            <v/>
          </cell>
        </row>
        <row r="551">
          <cell r="B551" t="str">
            <v>CT53065010</v>
          </cell>
          <cell r="C551" t="str">
            <v/>
          </cell>
          <cell r="D551" t="str">
            <v/>
          </cell>
          <cell r="E551" t="e">
            <v>#VALUE!</v>
          </cell>
          <cell r="F551" t="str">
            <v/>
          </cell>
          <cell r="G551" t="str">
            <v/>
          </cell>
          <cell r="H551" t="str">
            <v/>
          </cell>
          <cell r="I551" t="str">
            <v/>
          </cell>
          <cell r="J551" t="str">
            <v/>
          </cell>
        </row>
        <row r="552">
          <cell r="B552" t="str">
            <v>CT53065011</v>
          </cell>
          <cell r="C552" t="str">
            <v/>
          </cell>
          <cell r="D552" t="str">
            <v/>
          </cell>
          <cell r="E552" t="e">
            <v>#VALUE!</v>
          </cell>
          <cell r="F552" t="str">
            <v/>
          </cell>
          <cell r="G552" t="str">
            <v/>
          </cell>
          <cell r="H552" t="str">
            <v/>
          </cell>
          <cell r="I552" t="str">
            <v/>
          </cell>
          <cell r="J552" t="str">
            <v/>
          </cell>
        </row>
        <row r="553">
          <cell r="B553" t="str">
            <v>CT53065012</v>
          </cell>
          <cell r="C553" t="str">
            <v/>
          </cell>
          <cell r="D553" t="str">
            <v/>
          </cell>
          <cell r="E553" t="e">
            <v>#VALUE!</v>
          </cell>
          <cell r="F553" t="str">
            <v/>
          </cell>
          <cell r="G553" t="str">
            <v/>
          </cell>
          <cell r="H553" t="str">
            <v/>
          </cell>
          <cell r="I553" t="str">
            <v/>
          </cell>
          <cell r="J553" t="str">
            <v/>
          </cell>
        </row>
        <row r="554">
          <cell r="B554" t="str">
            <v>CT5306001</v>
          </cell>
          <cell r="C554">
            <v>72410</v>
          </cell>
          <cell r="D554">
            <v>11250</v>
          </cell>
          <cell r="E554">
            <v>83660</v>
          </cell>
          <cell r="F554">
            <v>13.4</v>
          </cell>
          <cell r="G554">
            <v>83660</v>
          </cell>
          <cell r="H554">
            <v>72410</v>
          </cell>
          <cell r="I554">
            <v>11250</v>
          </cell>
          <cell r="J554">
            <v>13.4</v>
          </cell>
        </row>
        <row r="555">
          <cell r="B555" t="str">
            <v>CT5306002</v>
          </cell>
          <cell r="C555">
            <v>72680</v>
          </cell>
          <cell r="D555">
            <v>11050</v>
          </cell>
          <cell r="E555">
            <v>83730</v>
          </cell>
          <cell r="F555">
            <v>13.2</v>
          </cell>
          <cell r="G555">
            <v>83690</v>
          </cell>
          <cell r="H555">
            <v>72550</v>
          </cell>
          <cell r="I555">
            <v>11150</v>
          </cell>
          <cell r="J555">
            <v>13.318318138912455</v>
          </cell>
        </row>
        <row r="556">
          <cell r="B556" t="str">
            <v>CT5306003</v>
          </cell>
          <cell r="C556">
            <v>72480</v>
          </cell>
          <cell r="D556">
            <v>11120</v>
          </cell>
          <cell r="E556">
            <v>83600</v>
          </cell>
          <cell r="F556">
            <v>13.3</v>
          </cell>
          <cell r="G556">
            <v>83660</v>
          </cell>
          <cell r="H556">
            <v>72520</v>
          </cell>
          <cell r="I556">
            <v>11140</v>
          </cell>
          <cell r="J556">
            <v>13.313093160574693</v>
          </cell>
        </row>
        <row r="557">
          <cell r="B557" t="str">
            <v>CT5306004</v>
          </cell>
          <cell r="C557">
            <v>72480</v>
          </cell>
          <cell r="D557">
            <v>11010</v>
          </cell>
          <cell r="E557">
            <v>83490</v>
          </cell>
          <cell r="F557">
            <v>13.2</v>
          </cell>
          <cell r="G557">
            <v>83620</v>
          </cell>
          <cell r="H557">
            <v>72510</v>
          </cell>
          <cell r="I557">
            <v>11110</v>
          </cell>
          <cell r="J557">
            <v>13.281450875105389</v>
          </cell>
        </row>
        <row r="558">
          <cell r="B558" t="str">
            <v>CT5306005</v>
          </cell>
          <cell r="C558">
            <v>72660</v>
          </cell>
          <cell r="D558">
            <v>11050</v>
          </cell>
          <cell r="E558">
            <v>83710</v>
          </cell>
          <cell r="F558">
            <v>13.2</v>
          </cell>
          <cell r="G558">
            <v>83640</v>
          </cell>
          <cell r="H558">
            <v>72540</v>
          </cell>
          <cell r="I558">
            <v>11090</v>
          </cell>
          <cell r="J558">
            <v>13.264320319860731</v>
          </cell>
        </row>
        <row r="559">
          <cell r="B559" t="str">
            <v>CT5306006</v>
          </cell>
          <cell r="C559">
            <v>71580</v>
          </cell>
          <cell r="D559">
            <v>10420</v>
          </cell>
          <cell r="E559">
            <v>82000</v>
          </cell>
          <cell r="F559">
            <v>12.7</v>
          </cell>
          <cell r="G559">
            <v>83360</v>
          </cell>
          <cell r="H559">
            <v>72380</v>
          </cell>
          <cell r="I559">
            <v>10980</v>
          </cell>
          <cell r="J559">
            <v>13.172310657405964</v>
          </cell>
        </row>
        <row r="560">
          <cell r="B560" t="str">
            <v>CT5306007</v>
          </cell>
          <cell r="C560">
            <v>70060</v>
          </cell>
          <cell r="D560">
            <v>7940</v>
          </cell>
          <cell r="E560">
            <v>78000</v>
          </cell>
          <cell r="F560">
            <v>10.199999999999999</v>
          </cell>
          <cell r="G560">
            <v>82600</v>
          </cell>
          <cell r="H560">
            <v>72050</v>
          </cell>
          <cell r="I560">
            <v>10550</v>
          </cell>
          <cell r="J560">
            <v>12.768128625638649</v>
          </cell>
        </row>
        <row r="561">
          <cell r="B561" t="str">
            <v>CT5306008</v>
          </cell>
          <cell r="C561" t="str">
            <v/>
          </cell>
          <cell r="D561" t="str">
            <v/>
          </cell>
          <cell r="E561" t="e">
            <v>#VALUE!</v>
          </cell>
          <cell r="F561" t="str">
            <v/>
          </cell>
          <cell r="G561" t="str">
            <v/>
          </cell>
          <cell r="H561" t="str">
            <v/>
          </cell>
          <cell r="I561" t="str">
            <v/>
          </cell>
          <cell r="J561" t="str">
            <v/>
          </cell>
        </row>
        <row r="562">
          <cell r="B562" t="str">
            <v>CT5306009</v>
          </cell>
          <cell r="C562" t="str">
            <v/>
          </cell>
          <cell r="D562" t="str">
            <v/>
          </cell>
          <cell r="E562" t="e">
            <v>#VALUE!</v>
          </cell>
          <cell r="F562" t="str">
            <v/>
          </cell>
          <cell r="G562" t="str">
            <v/>
          </cell>
          <cell r="H562" t="str">
            <v/>
          </cell>
          <cell r="I562" t="str">
            <v/>
          </cell>
          <cell r="J562" t="str">
            <v/>
          </cell>
        </row>
        <row r="563">
          <cell r="B563" t="str">
            <v>CT53060010</v>
          </cell>
          <cell r="C563" t="str">
            <v/>
          </cell>
          <cell r="D563" t="str">
            <v/>
          </cell>
          <cell r="E563" t="e">
            <v>#VALUE!</v>
          </cell>
          <cell r="F563" t="str">
            <v/>
          </cell>
          <cell r="G563" t="str">
            <v/>
          </cell>
          <cell r="H563" t="str">
            <v/>
          </cell>
          <cell r="I563" t="str">
            <v/>
          </cell>
          <cell r="J563" t="str">
            <v/>
          </cell>
        </row>
        <row r="564">
          <cell r="B564" t="str">
            <v>CT53060011</v>
          </cell>
          <cell r="C564" t="str">
            <v/>
          </cell>
          <cell r="D564" t="str">
            <v/>
          </cell>
          <cell r="E564" t="e">
            <v>#VALUE!</v>
          </cell>
          <cell r="F564" t="str">
            <v/>
          </cell>
          <cell r="G564" t="str">
            <v/>
          </cell>
          <cell r="H564" t="str">
            <v/>
          </cell>
          <cell r="I564" t="str">
            <v/>
          </cell>
          <cell r="J564" t="str">
            <v/>
          </cell>
        </row>
        <row r="565">
          <cell r="B565" t="str">
            <v>CT53060012</v>
          </cell>
          <cell r="C565" t="str">
            <v/>
          </cell>
          <cell r="D565" t="str">
            <v/>
          </cell>
          <cell r="E565" t="e">
            <v>#VALUE!</v>
          </cell>
          <cell r="F565" t="str">
            <v/>
          </cell>
          <cell r="G565" t="str">
            <v/>
          </cell>
          <cell r="H565" t="str">
            <v/>
          </cell>
          <cell r="I565" t="str">
            <v/>
          </cell>
          <cell r="J565" t="str">
            <v/>
          </cell>
        </row>
        <row r="566">
          <cell r="B566" t="str">
            <v>CT5304401</v>
          </cell>
          <cell r="C566">
            <v>42060</v>
          </cell>
          <cell r="D566">
            <v>5100</v>
          </cell>
          <cell r="E566">
            <v>47160</v>
          </cell>
          <cell r="F566">
            <v>10.8</v>
          </cell>
          <cell r="G566">
            <v>47150</v>
          </cell>
          <cell r="H566">
            <v>42060</v>
          </cell>
          <cell r="I566">
            <v>5100</v>
          </cell>
          <cell r="J566">
            <v>10.8</v>
          </cell>
        </row>
        <row r="567">
          <cell r="B567" t="str">
            <v>CT5304402</v>
          </cell>
          <cell r="C567">
            <v>42060</v>
          </cell>
          <cell r="D567">
            <v>5030</v>
          </cell>
          <cell r="E567">
            <v>47090</v>
          </cell>
          <cell r="F567">
            <v>10.7</v>
          </cell>
          <cell r="G567">
            <v>47120</v>
          </cell>
          <cell r="H567">
            <v>42060</v>
          </cell>
          <cell r="I567">
            <v>5060</v>
          </cell>
          <cell r="J567">
            <v>10.747405725441929</v>
          </cell>
        </row>
        <row r="568">
          <cell r="B568" t="str">
            <v>CT5304403</v>
          </cell>
          <cell r="C568">
            <v>42120</v>
          </cell>
          <cell r="D568">
            <v>4910</v>
          </cell>
          <cell r="E568">
            <v>47030</v>
          </cell>
          <cell r="F568">
            <v>10.4</v>
          </cell>
          <cell r="G568">
            <v>47090</v>
          </cell>
          <cell r="H568">
            <v>42080</v>
          </cell>
          <cell r="I568">
            <v>5010</v>
          </cell>
          <cell r="J568">
            <v>10.646129452403873</v>
          </cell>
        </row>
        <row r="569">
          <cell r="B569" t="str">
            <v>CT5304404</v>
          </cell>
          <cell r="C569">
            <v>42600</v>
          </cell>
          <cell r="D569">
            <v>4220</v>
          </cell>
          <cell r="E569">
            <v>46820</v>
          </cell>
          <cell r="F569">
            <v>9</v>
          </cell>
          <cell r="G569">
            <v>47020</v>
          </cell>
          <cell r="H569">
            <v>42210</v>
          </cell>
          <cell r="I569">
            <v>4820</v>
          </cell>
          <cell r="J569">
            <v>10.240883789919138</v>
          </cell>
        </row>
        <row r="570">
          <cell r="B570" t="str">
            <v>CT5304405</v>
          </cell>
          <cell r="C570">
            <v>42530</v>
          </cell>
          <cell r="D570">
            <v>4110</v>
          </cell>
          <cell r="E570">
            <v>46640</v>
          </cell>
          <cell r="F570">
            <v>8.8000000000000007</v>
          </cell>
          <cell r="G570">
            <v>46950</v>
          </cell>
          <cell r="H570">
            <v>42270</v>
          </cell>
          <cell r="I570">
            <v>4670</v>
          </cell>
          <cell r="J570">
            <v>9.9553101661916514</v>
          </cell>
        </row>
        <row r="571">
          <cell r="B571" t="str">
            <v>CT5304406</v>
          </cell>
          <cell r="C571">
            <v>41910</v>
          </cell>
          <cell r="D571">
            <v>4230</v>
          </cell>
          <cell r="E571">
            <v>46140</v>
          </cell>
          <cell r="F571">
            <v>9.1999999999999993</v>
          </cell>
          <cell r="G571">
            <v>46810</v>
          </cell>
          <cell r="H571">
            <v>42210</v>
          </cell>
          <cell r="I571">
            <v>4600</v>
          </cell>
          <cell r="J571">
            <v>9.8265751893217868</v>
          </cell>
        </row>
        <row r="572">
          <cell r="B572" t="str">
            <v>CT5304407</v>
          </cell>
          <cell r="C572">
            <v>42290</v>
          </cell>
          <cell r="D572">
            <v>3970</v>
          </cell>
          <cell r="E572">
            <v>46260</v>
          </cell>
          <cell r="F572">
            <v>8.6</v>
          </cell>
          <cell r="G572">
            <v>46730</v>
          </cell>
          <cell r="H572">
            <v>42220</v>
          </cell>
          <cell r="I572">
            <v>4510</v>
          </cell>
          <cell r="J572">
            <v>9.6510319866966654</v>
          </cell>
        </row>
        <row r="573">
          <cell r="B573" t="str">
            <v>CT5304408</v>
          </cell>
          <cell r="C573" t="str">
            <v/>
          </cell>
          <cell r="D573" t="str">
            <v/>
          </cell>
          <cell r="E573" t="e">
            <v>#VALUE!</v>
          </cell>
          <cell r="F573" t="str">
            <v/>
          </cell>
          <cell r="G573" t="str">
            <v/>
          </cell>
          <cell r="H573" t="str">
            <v/>
          </cell>
          <cell r="I573" t="str">
            <v/>
          </cell>
          <cell r="J573" t="str">
            <v/>
          </cell>
        </row>
        <row r="574">
          <cell r="B574" t="str">
            <v>CT5304409</v>
          </cell>
          <cell r="C574" t="str">
            <v/>
          </cell>
          <cell r="D574" t="str">
            <v/>
          </cell>
          <cell r="E574" t="e">
            <v>#VALUE!</v>
          </cell>
          <cell r="F574" t="str">
            <v/>
          </cell>
          <cell r="G574" t="str">
            <v/>
          </cell>
          <cell r="H574" t="str">
            <v/>
          </cell>
          <cell r="I574" t="str">
            <v/>
          </cell>
          <cell r="J574" t="str">
            <v/>
          </cell>
        </row>
        <row r="575">
          <cell r="B575" t="str">
            <v>CT53044010</v>
          </cell>
          <cell r="C575" t="str">
            <v/>
          </cell>
          <cell r="D575" t="str">
            <v/>
          </cell>
          <cell r="E575" t="e">
            <v>#VALUE!</v>
          </cell>
          <cell r="F575" t="str">
            <v/>
          </cell>
          <cell r="G575" t="str">
            <v/>
          </cell>
          <cell r="H575" t="str">
            <v/>
          </cell>
          <cell r="I575" t="str">
            <v/>
          </cell>
          <cell r="J575" t="str">
            <v/>
          </cell>
        </row>
        <row r="576">
          <cell r="B576" t="str">
            <v>CT53044011</v>
          </cell>
          <cell r="C576" t="str">
            <v/>
          </cell>
          <cell r="D576" t="str">
            <v/>
          </cell>
          <cell r="E576" t="e">
            <v>#VALUE!</v>
          </cell>
          <cell r="F576" t="str">
            <v/>
          </cell>
          <cell r="G576" t="str">
            <v/>
          </cell>
          <cell r="H576" t="str">
            <v/>
          </cell>
          <cell r="I576" t="str">
            <v/>
          </cell>
          <cell r="J576" t="str">
            <v/>
          </cell>
        </row>
        <row r="577">
          <cell r="B577" t="str">
            <v>CT53044012</v>
          </cell>
          <cell r="C577" t="str">
            <v/>
          </cell>
          <cell r="D577" t="str">
            <v/>
          </cell>
          <cell r="E577" t="e">
            <v>#VALUE!</v>
          </cell>
          <cell r="F577" t="str">
            <v/>
          </cell>
          <cell r="G577" t="str">
            <v/>
          </cell>
          <cell r="H577" t="str">
            <v/>
          </cell>
          <cell r="I577" t="str">
            <v/>
          </cell>
          <cell r="J577" t="str">
            <v/>
          </cell>
        </row>
        <row r="578">
          <cell r="B578" t="str">
            <v>CT5304201</v>
          </cell>
          <cell r="C578">
            <v>26260</v>
          </cell>
          <cell r="D578">
            <v>2420</v>
          </cell>
          <cell r="E578">
            <v>28680</v>
          </cell>
          <cell r="F578">
            <v>8.4</v>
          </cell>
          <cell r="G578">
            <v>28680</v>
          </cell>
          <cell r="H578">
            <v>26260</v>
          </cell>
          <cell r="I578">
            <v>2420</v>
          </cell>
          <cell r="J578">
            <v>8.4</v>
          </cell>
        </row>
        <row r="579">
          <cell r="B579" t="str">
            <v>CT5304202</v>
          </cell>
          <cell r="C579">
            <v>26410</v>
          </cell>
          <cell r="D579">
            <v>2550</v>
          </cell>
          <cell r="E579">
            <v>28960</v>
          </cell>
          <cell r="F579">
            <v>8.8000000000000007</v>
          </cell>
          <cell r="G579">
            <v>28820</v>
          </cell>
          <cell r="H579">
            <v>26330</v>
          </cell>
          <cell r="I579">
            <v>2490</v>
          </cell>
          <cell r="J579">
            <v>8.6314584128526306</v>
          </cell>
        </row>
        <row r="580">
          <cell r="B580" t="str">
            <v>CT5304203</v>
          </cell>
          <cell r="C580">
            <v>26310</v>
          </cell>
          <cell r="D580">
            <v>2490</v>
          </cell>
          <cell r="E580">
            <v>28800</v>
          </cell>
          <cell r="F580">
            <v>8.6</v>
          </cell>
          <cell r="G580">
            <v>28810</v>
          </cell>
          <cell r="H580">
            <v>26320</v>
          </cell>
          <cell r="I580">
            <v>2490</v>
          </cell>
          <cell r="J580">
            <v>8.6322195483154385</v>
          </cell>
        </row>
        <row r="581">
          <cell r="B581" t="str">
            <v>CT5304204</v>
          </cell>
          <cell r="C581">
            <v>26050</v>
          </cell>
          <cell r="D581">
            <v>2250</v>
          </cell>
          <cell r="E581">
            <v>28300</v>
          </cell>
          <cell r="F581">
            <v>8</v>
          </cell>
          <cell r="G581">
            <v>28680</v>
          </cell>
          <cell r="H581">
            <v>26250</v>
          </cell>
          <cell r="I581">
            <v>2430</v>
          </cell>
          <cell r="J581">
            <v>8.4660373575992125</v>
          </cell>
        </row>
        <row r="582">
          <cell r="B582" t="str">
            <v>CT5304205</v>
          </cell>
          <cell r="C582">
            <v>26200</v>
          </cell>
          <cell r="D582">
            <v>2190</v>
          </cell>
          <cell r="E582">
            <v>28390</v>
          </cell>
          <cell r="F582">
            <v>7.7</v>
          </cell>
          <cell r="G582">
            <v>28620</v>
          </cell>
          <cell r="H582">
            <v>26240</v>
          </cell>
          <cell r="I582">
            <v>2380</v>
          </cell>
          <cell r="J582">
            <v>8.3144669908882562</v>
          </cell>
        </row>
        <row r="583">
          <cell r="B583" t="str">
            <v>CT5304206</v>
          </cell>
          <cell r="C583">
            <v>26180</v>
          </cell>
          <cell r="D583">
            <v>2590</v>
          </cell>
          <cell r="E583">
            <v>28770</v>
          </cell>
          <cell r="F583">
            <v>9</v>
          </cell>
          <cell r="G583">
            <v>28650</v>
          </cell>
          <cell r="H583">
            <v>26230</v>
          </cell>
          <cell r="I583">
            <v>2410</v>
          </cell>
          <cell r="J583">
            <v>8.4281691451977014</v>
          </cell>
        </row>
        <row r="584">
          <cell r="B584" t="str">
            <v>CT5304207</v>
          </cell>
          <cell r="C584">
            <v>26160</v>
          </cell>
          <cell r="D584">
            <v>2560</v>
          </cell>
          <cell r="E584">
            <v>28720</v>
          </cell>
          <cell r="F584">
            <v>8.9</v>
          </cell>
          <cell r="G584">
            <v>28660</v>
          </cell>
          <cell r="H584">
            <v>26220</v>
          </cell>
          <cell r="I584">
            <v>2440</v>
          </cell>
          <cell r="J584">
            <v>8.4982601673031102</v>
          </cell>
        </row>
        <row r="585">
          <cell r="B585" t="str">
            <v>CT5304208</v>
          </cell>
          <cell r="C585" t="str">
            <v/>
          </cell>
          <cell r="D585" t="str">
            <v/>
          </cell>
          <cell r="E585" t="e">
            <v>#VALUE!</v>
          </cell>
          <cell r="F585" t="str">
            <v/>
          </cell>
          <cell r="G585" t="str">
            <v/>
          </cell>
          <cell r="H585" t="str">
            <v/>
          </cell>
          <cell r="I585" t="str">
            <v/>
          </cell>
          <cell r="J585" t="str">
            <v/>
          </cell>
        </row>
        <row r="586">
          <cell r="B586" t="str">
            <v>CT5304209</v>
          </cell>
          <cell r="C586" t="str">
            <v/>
          </cell>
          <cell r="D586" t="str">
            <v/>
          </cell>
          <cell r="E586" t="e">
            <v>#VALUE!</v>
          </cell>
          <cell r="F586" t="str">
            <v/>
          </cell>
          <cell r="G586" t="str">
            <v/>
          </cell>
          <cell r="H586" t="str">
            <v/>
          </cell>
          <cell r="I586" t="str">
            <v/>
          </cell>
          <cell r="J586" t="str">
            <v/>
          </cell>
        </row>
        <row r="587">
          <cell r="B587" t="str">
            <v>CT53042010</v>
          </cell>
          <cell r="C587" t="str">
            <v/>
          </cell>
          <cell r="D587" t="str">
            <v/>
          </cell>
          <cell r="E587" t="e">
            <v>#VALUE!</v>
          </cell>
          <cell r="F587" t="str">
            <v/>
          </cell>
          <cell r="G587" t="str">
            <v/>
          </cell>
          <cell r="H587" t="str">
            <v/>
          </cell>
          <cell r="I587" t="str">
            <v/>
          </cell>
          <cell r="J587" t="str">
            <v/>
          </cell>
        </row>
        <row r="588">
          <cell r="B588" t="str">
            <v>CT53042011</v>
          </cell>
          <cell r="C588" t="str">
            <v/>
          </cell>
          <cell r="D588" t="str">
            <v/>
          </cell>
          <cell r="E588" t="e">
            <v>#VALUE!</v>
          </cell>
          <cell r="F588" t="str">
            <v/>
          </cell>
          <cell r="G588" t="str">
            <v/>
          </cell>
          <cell r="H588" t="str">
            <v/>
          </cell>
          <cell r="I588" t="str">
            <v/>
          </cell>
          <cell r="J588" t="str">
            <v/>
          </cell>
        </row>
        <row r="589">
          <cell r="B589" t="str">
            <v>CT53042012</v>
          </cell>
          <cell r="C589" t="str">
            <v/>
          </cell>
          <cell r="D589" t="str">
            <v/>
          </cell>
          <cell r="E589" t="e">
            <v>#VALUE!</v>
          </cell>
          <cell r="F589" t="str">
            <v/>
          </cell>
          <cell r="G589" t="str">
            <v/>
          </cell>
          <cell r="H589" t="str">
            <v/>
          </cell>
          <cell r="I589" t="str">
            <v/>
          </cell>
          <cell r="J589" t="str">
            <v/>
          </cell>
        </row>
        <row r="590">
          <cell r="B590" t="str">
            <v>CT5304001</v>
          </cell>
          <cell r="C590">
            <v>24890</v>
          </cell>
          <cell r="D590">
            <v>1630</v>
          </cell>
          <cell r="E590">
            <v>26520</v>
          </cell>
          <cell r="F590">
            <v>6.1</v>
          </cell>
          <cell r="G590">
            <v>26520</v>
          </cell>
          <cell r="H590">
            <v>24890</v>
          </cell>
          <cell r="I590">
            <v>1630</v>
          </cell>
          <cell r="J590">
            <v>6.1</v>
          </cell>
        </row>
        <row r="591">
          <cell r="B591" t="str">
            <v>CT5304002</v>
          </cell>
          <cell r="C591">
            <v>24980</v>
          </cell>
          <cell r="D591">
            <v>1640</v>
          </cell>
          <cell r="E591">
            <v>26620</v>
          </cell>
          <cell r="F591">
            <v>6.2</v>
          </cell>
          <cell r="G591">
            <v>26570</v>
          </cell>
          <cell r="H591">
            <v>24930</v>
          </cell>
          <cell r="I591">
            <v>1630</v>
          </cell>
          <cell r="J591">
            <v>6.1502559470039149</v>
          </cell>
        </row>
        <row r="592">
          <cell r="B592" t="str">
            <v>CT5304003</v>
          </cell>
          <cell r="C592">
            <v>25310</v>
          </cell>
          <cell r="D592">
            <v>1710</v>
          </cell>
          <cell r="E592">
            <v>27020</v>
          </cell>
          <cell r="F592">
            <v>6.3</v>
          </cell>
          <cell r="G592">
            <v>26720</v>
          </cell>
          <cell r="H592">
            <v>25060</v>
          </cell>
          <cell r="I592">
            <v>1660</v>
          </cell>
          <cell r="J592">
            <v>6.2113273453093818</v>
          </cell>
        </row>
        <row r="593">
          <cell r="B593" t="str">
            <v>CT5304004</v>
          </cell>
          <cell r="C593">
            <v>25390</v>
          </cell>
          <cell r="D593">
            <v>1490</v>
          </cell>
          <cell r="E593">
            <v>26880</v>
          </cell>
          <cell r="F593">
            <v>5.5</v>
          </cell>
          <cell r="G593">
            <v>26760</v>
          </cell>
          <cell r="H593">
            <v>25140</v>
          </cell>
          <cell r="I593">
            <v>1620</v>
          </cell>
          <cell r="J593">
            <v>6.0451212107057772</v>
          </cell>
        </row>
        <row r="594">
          <cell r="B594" t="str">
            <v>CT5304005</v>
          </cell>
          <cell r="C594">
            <v>25520</v>
          </cell>
          <cell r="D594">
            <v>1600</v>
          </cell>
          <cell r="E594">
            <v>27120</v>
          </cell>
          <cell r="F594">
            <v>5.9</v>
          </cell>
          <cell r="G594">
            <v>26830</v>
          </cell>
          <cell r="H594">
            <v>25220</v>
          </cell>
          <cell r="I594">
            <v>1610</v>
          </cell>
          <cell r="J594">
            <v>6.0150712193376723</v>
          </cell>
        </row>
        <row r="595">
          <cell r="B595" t="str">
            <v>CT5304006</v>
          </cell>
          <cell r="C595">
            <v>26450</v>
          </cell>
          <cell r="D595">
            <v>1720</v>
          </cell>
          <cell r="E595">
            <v>28170</v>
          </cell>
          <cell r="F595">
            <v>6.1</v>
          </cell>
          <cell r="G595">
            <v>27060</v>
          </cell>
          <cell r="H595">
            <v>25420</v>
          </cell>
          <cell r="I595">
            <v>1630</v>
          </cell>
          <cell r="J595">
            <v>6.0283491341871338</v>
          </cell>
        </row>
        <row r="596">
          <cell r="B596" t="str">
            <v>CT5304007</v>
          </cell>
          <cell r="C596">
            <v>25890</v>
          </cell>
          <cell r="D596">
            <v>1660</v>
          </cell>
          <cell r="E596">
            <v>27550</v>
          </cell>
          <cell r="F596">
            <v>6</v>
          </cell>
          <cell r="G596">
            <v>27130</v>
          </cell>
          <cell r="H596">
            <v>25490</v>
          </cell>
          <cell r="I596">
            <v>1630</v>
          </cell>
          <cell r="J596">
            <v>6.0270913648907705</v>
          </cell>
        </row>
        <row r="597">
          <cell r="B597" t="str">
            <v>CT5304008</v>
          </cell>
          <cell r="C597" t="str">
            <v/>
          </cell>
          <cell r="D597" t="str">
            <v/>
          </cell>
          <cell r="E597" t="e">
            <v>#VALUE!</v>
          </cell>
          <cell r="F597" t="str">
            <v/>
          </cell>
          <cell r="G597" t="str">
            <v/>
          </cell>
          <cell r="H597" t="str">
            <v/>
          </cell>
          <cell r="I597" t="str">
            <v/>
          </cell>
          <cell r="J597" t="str">
            <v/>
          </cell>
        </row>
        <row r="598">
          <cell r="B598" t="str">
            <v>CT5304009</v>
          </cell>
          <cell r="C598" t="str">
            <v/>
          </cell>
          <cell r="D598" t="str">
            <v/>
          </cell>
          <cell r="E598" t="e">
            <v>#VALUE!</v>
          </cell>
          <cell r="F598" t="str">
            <v/>
          </cell>
          <cell r="G598" t="str">
            <v/>
          </cell>
          <cell r="H598" t="str">
            <v/>
          </cell>
          <cell r="I598" t="str">
            <v/>
          </cell>
          <cell r="J598" t="str">
            <v/>
          </cell>
        </row>
        <row r="599">
          <cell r="B599" t="str">
            <v>CT53040010</v>
          </cell>
          <cell r="C599" t="str">
            <v/>
          </cell>
          <cell r="D599" t="str">
            <v/>
          </cell>
          <cell r="E599" t="e">
            <v>#VALUE!</v>
          </cell>
          <cell r="F599" t="str">
            <v/>
          </cell>
          <cell r="G599" t="str">
            <v/>
          </cell>
          <cell r="H599" t="str">
            <v/>
          </cell>
          <cell r="I599" t="str">
            <v/>
          </cell>
          <cell r="J599" t="str">
            <v/>
          </cell>
        </row>
        <row r="600">
          <cell r="B600" t="str">
            <v>CT53040011</v>
          </cell>
          <cell r="C600" t="str">
            <v/>
          </cell>
          <cell r="D600" t="str">
            <v/>
          </cell>
          <cell r="E600" t="e">
            <v>#VALUE!</v>
          </cell>
          <cell r="F600" t="str">
            <v/>
          </cell>
          <cell r="G600" t="str">
            <v/>
          </cell>
          <cell r="H600" t="str">
            <v/>
          </cell>
          <cell r="I600" t="str">
            <v/>
          </cell>
          <cell r="J600" t="str">
            <v/>
          </cell>
        </row>
        <row r="601">
          <cell r="B601" t="str">
            <v>CT53040012</v>
          </cell>
          <cell r="C601" t="str">
            <v/>
          </cell>
          <cell r="D601" t="str">
            <v/>
          </cell>
          <cell r="E601" t="e">
            <v>#VALUE!</v>
          </cell>
          <cell r="F601" t="str">
            <v/>
          </cell>
          <cell r="G601" t="str">
            <v/>
          </cell>
          <cell r="H601" t="str">
            <v/>
          </cell>
          <cell r="I601" t="str">
            <v/>
          </cell>
          <cell r="J601" t="str">
            <v/>
          </cell>
        </row>
        <row r="602">
          <cell r="B602" t="str">
            <v>CT5303801</v>
          </cell>
          <cell r="C602">
            <v>18070</v>
          </cell>
          <cell r="D602">
            <v>1830</v>
          </cell>
          <cell r="E602">
            <v>19900</v>
          </cell>
          <cell r="F602">
            <v>9.1999999999999993</v>
          </cell>
          <cell r="G602">
            <v>19890</v>
          </cell>
          <cell r="H602">
            <v>18070</v>
          </cell>
          <cell r="I602">
            <v>1830</v>
          </cell>
          <cell r="J602">
            <v>9.1999999999999993</v>
          </cell>
        </row>
        <row r="603">
          <cell r="B603" t="str">
            <v>CT5303802</v>
          </cell>
          <cell r="C603">
            <v>17940</v>
          </cell>
          <cell r="D603">
            <v>1900</v>
          </cell>
          <cell r="E603">
            <v>19840</v>
          </cell>
          <cell r="F603">
            <v>9.6</v>
          </cell>
          <cell r="G603">
            <v>19870</v>
          </cell>
          <cell r="H603">
            <v>18000</v>
          </cell>
          <cell r="I603">
            <v>1860</v>
          </cell>
          <cell r="J603">
            <v>9.3707525799144218</v>
          </cell>
        </row>
        <row r="604">
          <cell r="B604" t="str">
            <v>CT5303803</v>
          </cell>
          <cell r="C604">
            <v>17970</v>
          </cell>
          <cell r="D604">
            <v>1950</v>
          </cell>
          <cell r="E604">
            <v>19920</v>
          </cell>
          <cell r="F604">
            <v>9.8000000000000007</v>
          </cell>
          <cell r="G604">
            <v>19880</v>
          </cell>
          <cell r="H604">
            <v>17990</v>
          </cell>
          <cell r="I604">
            <v>1890</v>
          </cell>
          <cell r="J604">
            <v>9.5153476052371282</v>
          </cell>
        </row>
        <row r="605">
          <cell r="B605" t="str">
            <v>CT5303804</v>
          </cell>
          <cell r="C605">
            <v>17940</v>
          </cell>
          <cell r="D605">
            <v>1720</v>
          </cell>
          <cell r="E605">
            <v>19660</v>
          </cell>
          <cell r="F605">
            <v>8.6999999999999993</v>
          </cell>
          <cell r="G605">
            <v>19830</v>
          </cell>
          <cell r="H605">
            <v>17980</v>
          </cell>
          <cell r="I605">
            <v>1850</v>
          </cell>
          <cell r="J605">
            <v>9.3234978879011408</v>
          </cell>
        </row>
        <row r="606">
          <cell r="B606" t="str">
            <v>CT5303805</v>
          </cell>
          <cell r="C606">
            <v>18120</v>
          </cell>
          <cell r="D606">
            <v>1770</v>
          </cell>
          <cell r="E606">
            <v>19890</v>
          </cell>
          <cell r="F606">
            <v>8.9</v>
          </cell>
          <cell r="G606">
            <v>19840</v>
          </cell>
          <cell r="H606">
            <v>18010</v>
          </cell>
          <cell r="I606">
            <v>1830</v>
          </cell>
          <cell r="J606">
            <v>9.2337006381627358</v>
          </cell>
        </row>
        <row r="607">
          <cell r="B607" t="str">
            <v>CT5303806</v>
          </cell>
          <cell r="C607">
            <v>17760</v>
          </cell>
          <cell r="D607">
            <v>1750</v>
          </cell>
          <cell r="E607">
            <v>19510</v>
          </cell>
          <cell r="F607">
            <v>9</v>
          </cell>
          <cell r="G607">
            <v>19780</v>
          </cell>
          <cell r="H607">
            <v>17970</v>
          </cell>
          <cell r="I607">
            <v>1820</v>
          </cell>
          <cell r="J607">
            <v>9.1908512699549298</v>
          </cell>
        </row>
        <row r="608">
          <cell r="B608" t="str">
            <v>CT5303807</v>
          </cell>
          <cell r="C608">
            <v>17490</v>
          </cell>
          <cell r="D608">
            <v>1690</v>
          </cell>
          <cell r="E608">
            <v>19180</v>
          </cell>
          <cell r="F608">
            <v>8.8000000000000007</v>
          </cell>
          <cell r="G608">
            <v>19700</v>
          </cell>
          <cell r="H608">
            <v>17900</v>
          </cell>
          <cell r="I608">
            <v>1800</v>
          </cell>
          <cell r="J608">
            <v>9.1366656029706128</v>
          </cell>
        </row>
        <row r="609">
          <cell r="B609" t="str">
            <v>CT5303808</v>
          </cell>
          <cell r="C609" t="str">
            <v/>
          </cell>
          <cell r="D609" t="str">
            <v/>
          </cell>
          <cell r="E609" t="e">
            <v>#VALUE!</v>
          </cell>
          <cell r="F609" t="str">
            <v/>
          </cell>
          <cell r="G609" t="str">
            <v/>
          </cell>
          <cell r="H609" t="str">
            <v/>
          </cell>
          <cell r="I609" t="str">
            <v/>
          </cell>
          <cell r="J609" t="str">
            <v/>
          </cell>
        </row>
        <row r="610">
          <cell r="B610" t="str">
            <v>CT5303809</v>
          </cell>
          <cell r="C610" t="str">
            <v/>
          </cell>
          <cell r="D610" t="str">
            <v/>
          </cell>
          <cell r="E610" t="e">
            <v>#VALUE!</v>
          </cell>
          <cell r="F610" t="str">
            <v/>
          </cell>
          <cell r="G610" t="str">
            <v/>
          </cell>
          <cell r="H610" t="str">
            <v/>
          </cell>
          <cell r="I610" t="str">
            <v/>
          </cell>
          <cell r="J610" t="str">
            <v/>
          </cell>
        </row>
        <row r="611">
          <cell r="B611" t="str">
            <v>CT53038010</v>
          </cell>
          <cell r="C611" t="str">
            <v/>
          </cell>
          <cell r="D611" t="str">
            <v/>
          </cell>
          <cell r="E611" t="e">
            <v>#VALUE!</v>
          </cell>
          <cell r="F611" t="str">
            <v/>
          </cell>
          <cell r="G611" t="str">
            <v/>
          </cell>
          <cell r="H611" t="str">
            <v/>
          </cell>
          <cell r="I611" t="str">
            <v/>
          </cell>
          <cell r="J611" t="str">
            <v/>
          </cell>
        </row>
        <row r="612">
          <cell r="B612" t="str">
            <v>CT53038011</v>
          </cell>
          <cell r="C612" t="str">
            <v/>
          </cell>
          <cell r="D612" t="str">
            <v/>
          </cell>
          <cell r="E612" t="e">
            <v>#VALUE!</v>
          </cell>
          <cell r="F612" t="str">
            <v/>
          </cell>
          <cell r="G612" t="str">
            <v/>
          </cell>
          <cell r="H612" t="str">
            <v/>
          </cell>
          <cell r="I612" t="str">
            <v/>
          </cell>
          <cell r="J612" t="str">
            <v/>
          </cell>
        </row>
        <row r="613">
          <cell r="B613" t="str">
            <v>CT53038012</v>
          </cell>
          <cell r="C613" t="str">
            <v/>
          </cell>
          <cell r="D613" t="str">
            <v/>
          </cell>
          <cell r="E613" t="e">
            <v>#VALUE!</v>
          </cell>
          <cell r="F613" t="str">
            <v/>
          </cell>
          <cell r="G613" t="str">
            <v/>
          </cell>
          <cell r="H613" t="str">
            <v/>
          </cell>
          <cell r="I613" t="str">
            <v/>
          </cell>
          <cell r="J613" t="str">
            <v/>
          </cell>
        </row>
        <row r="614">
          <cell r="B614" t="str">
            <v>CT5303501</v>
          </cell>
          <cell r="C614">
            <v>33600</v>
          </cell>
          <cell r="D614">
            <v>3240</v>
          </cell>
          <cell r="E614">
            <v>36840</v>
          </cell>
          <cell r="F614">
            <v>8.8000000000000007</v>
          </cell>
          <cell r="G614">
            <v>36840</v>
          </cell>
          <cell r="H614">
            <v>33600</v>
          </cell>
          <cell r="I614">
            <v>3240</v>
          </cell>
          <cell r="J614">
            <v>8.8000000000000007</v>
          </cell>
        </row>
        <row r="615">
          <cell r="B615" t="str">
            <v>CT5303502</v>
          </cell>
          <cell r="C615">
            <v>33790</v>
          </cell>
          <cell r="D615">
            <v>3400</v>
          </cell>
          <cell r="E615">
            <v>37190</v>
          </cell>
          <cell r="F615">
            <v>9.1999999999999993</v>
          </cell>
          <cell r="G615">
            <v>37010</v>
          </cell>
          <cell r="H615">
            <v>33690</v>
          </cell>
          <cell r="I615">
            <v>3320</v>
          </cell>
          <cell r="J615">
            <v>8.967119660659769</v>
          </cell>
        </row>
        <row r="616">
          <cell r="B616" t="str">
            <v>CT5303503</v>
          </cell>
          <cell r="C616">
            <v>33660</v>
          </cell>
          <cell r="D616">
            <v>3260</v>
          </cell>
          <cell r="E616">
            <v>36920</v>
          </cell>
          <cell r="F616">
            <v>8.8000000000000007</v>
          </cell>
          <cell r="G616">
            <v>36980</v>
          </cell>
          <cell r="H616">
            <v>33680</v>
          </cell>
          <cell r="I616">
            <v>3300</v>
          </cell>
          <cell r="J616">
            <v>8.9219565393732374</v>
          </cell>
        </row>
        <row r="617">
          <cell r="B617" t="str">
            <v>CT5303504</v>
          </cell>
          <cell r="C617">
            <v>33330</v>
          </cell>
          <cell r="D617">
            <v>3050</v>
          </cell>
          <cell r="E617">
            <v>36380</v>
          </cell>
          <cell r="F617">
            <v>8.4</v>
          </cell>
          <cell r="G617">
            <v>36830</v>
          </cell>
          <cell r="H617">
            <v>33600</v>
          </cell>
          <cell r="I617">
            <v>3240</v>
          </cell>
          <cell r="J617">
            <v>8.7910297830749613</v>
          </cell>
        </row>
        <row r="618">
          <cell r="B618" t="str">
            <v>CT5303505</v>
          </cell>
          <cell r="C618">
            <v>33520</v>
          </cell>
          <cell r="D618">
            <v>2940</v>
          </cell>
          <cell r="E618">
            <v>36460</v>
          </cell>
          <cell r="F618">
            <v>8.1</v>
          </cell>
          <cell r="G618">
            <v>36760</v>
          </cell>
          <cell r="H618">
            <v>33580</v>
          </cell>
          <cell r="I618">
            <v>3180</v>
          </cell>
          <cell r="J618">
            <v>8.6441046846944882</v>
          </cell>
        </row>
        <row r="619">
          <cell r="B619" t="str">
            <v>CT5303506</v>
          </cell>
          <cell r="C619">
            <v>33500</v>
          </cell>
          <cell r="D619">
            <v>3330</v>
          </cell>
          <cell r="E619">
            <v>36830</v>
          </cell>
          <cell r="F619">
            <v>9</v>
          </cell>
          <cell r="G619">
            <v>36770</v>
          </cell>
          <cell r="H619">
            <v>33570</v>
          </cell>
          <cell r="I619">
            <v>3200</v>
          </cell>
          <cell r="J619">
            <v>8.7113983836387607</v>
          </cell>
        </row>
        <row r="620">
          <cell r="B620" t="str">
            <v>CT5303507</v>
          </cell>
          <cell r="C620">
            <v>33470</v>
          </cell>
          <cell r="D620">
            <v>3220</v>
          </cell>
          <cell r="E620">
            <v>36690</v>
          </cell>
          <cell r="F620">
            <v>8.8000000000000007</v>
          </cell>
          <cell r="G620">
            <v>36760</v>
          </cell>
          <cell r="H620">
            <v>33550</v>
          </cell>
          <cell r="I620">
            <v>3210</v>
          </cell>
          <cell r="J620">
            <v>8.7209641251248495</v>
          </cell>
        </row>
        <row r="621">
          <cell r="B621" t="str">
            <v>CT5303508</v>
          </cell>
          <cell r="C621" t="str">
            <v/>
          </cell>
          <cell r="D621" t="str">
            <v/>
          </cell>
          <cell r="E621" t="e">
            <v>#VALUE!</v>
          </cell>
          <cell r="F621" t="str">
            <v/>
          </cell>
          <cell r="G621" t="str">
            <v/>
          </cell>
          <cell r="H621" t="str">
            <v/>
          </cell>
          <cell r="I621" t="str">
            <v/>
          </cell>
          <cell r="J621" t="str">
            <v/>
          </cell>
        </row>
        <row r="622">
          <cell r="B622" t="str">
            <v>CT5303509</v>
          </cell>
          <cell r="C622" t="str">
            <v/>
          </cell>
          <cell r="D622" t="str">
            <v/>
          </cell>
          <cell r="E622" t="e">
            <v>#VALUE!</v>
          </cell>
          <cell r="F622" t="str">
            <v/>
          </cell>
          <cell r="G622" t="str">
            <v/>
          </cell>
          <cell r="H622" t="str">
            <v/>
          </cell>
          <cell r="I622" t="str">
            <v/>
          </cell>
          <cell r="J622" t="str">
            <v/>
          </cell>
        </row>
        <row r="623">
          <cell r="B623" t="str">
            <v>CT53035010</v>
          </cell>
          <cell r="C623" t="str">
            <v/>
          </cell>
          <cell r="D623" t="str">
            <v/>
          </cell>
          <cell r="E623" t="e">
            <v>#VALUE!</v>
          </cell>
          <cell r="F623" t="str">
            <v/>
          </cell>
          <cell r="G623" t="str">
            <v/>
          </cell>
          <cell r="H623" t="str">
            <v/>
          </cell>
          <cell r="I623" t="str">
            <v/>
          </cell>
          <cell r="J623" t="str">
            <v/>
          </cell>
        </row>
        <row r="624">
          <cell r="B624" t="str">
            <v>CT53035011</v>
          </cell>
          <cell r="C624" t="str">
            <v/>
          </cell>
          <cell r="D624" t="str">
            <v/>
          </cell>
          <cell r="E624" t="e">
            <v>#VALUE!</v>
          </cell>
          <cell r="F624" t="str">
            <v/>
          </cell>
          <cell r="G624" t="str">
            <v/>
          </cell>
          <cell r="H624" t="str">
            <v/>
          </cell>
          <cell r="I624" t="str">
            <v/>
          </cell>
          <cell r="J624" t="str">
            <v/>
          </cell>
        </row>
        <row r="625">
          <cell r="B625" t="str">
            <v>CT53035012</v>
          </cell>
          <cell r="C625" t="str">
            <v/>
          </cell>
          <cell r="D625" t="str">
            <v/>
          </cell>
          <cell r="E625" t="e">
            <v>#VALUE!</v>
          </cell>
          <cell r="F625" t="str">
            <v/>
          </cell>
          <cell r="G625" t="str">
            <v/>
          </cell>
          <cell r="H625" t="str">
            <v/>
          </cell>
          <cell r="I625" t="str">
            <v/>
          </cell>
          <cell r="J625" t="str">
            <v/>
          </cell>
        </row>
        <row r="626">
          <cell r="B626" t="str">
            <v>CT5303301</v>
          </cell>
          <cell r="C626">
            <v>13220</v>
          </cell>
          <cell r="D626">
            <v>830</v>
          </cell>
          <cell r="E626">
            <v>14050</v>
          </cell>
          <cell r="F626">
            <v>5.9</v>
          </cell>
          <cell r="G626">
            <v>14050</v>
          </cell>
          <cell r="H626">
            <v>13220</v>
          </cell>
          <cell r="I626">
            <v>830</v>
          </cell>
          <cell r="J626">
            <v>5.9</v>
          </cell>
        </row>
        <row r="627">
          <cell r="B627" t="str">
            <v>CT5303302</v>
          </cell>
          <cell r="C627">
            <v>13790</v>
          </cell>
          <cell r="D627">
            <v>900</v>
          </cell>
          <cell r="E627">
            <v>14690</v>
          </cell>
          <cell r="F627">
            <v>6.1</v>
          </cell>
          <cell r="G627">
            <v>14370</v>
          </cell>
          <cell r="H627">
            <v>13500</v>
          </cell>
          <cell r="I627">
            <v>860</v>
          </cell>
          <cell r="J627">
            <v>6.0139908815647516</v>
          </cell>
        </row>
        <row r="628">
          <cell r="B628" t="str">
            <v>CT5303303</v>
          </cell>
          <cell r="C628">
            <v>13980</v>
          </cell>
          <cell r="D628">
            <v>1000</v>
          </cell>
          <cell r="E628">
            <v>14980</v>
          </cell>
          <cell r="F628">
            <v>6.7</v>
          </cell>
          <cell r="G628">
            <v>14570</v>
          </cell>
          <cell r="H628">
            <v>13660</v>
          </cell>
          <cell r="I628">
            <v>910</v>
          </cell>
          <cell r="J628">
            <v>6.2475693729554136</v>
          </cell>
        </row>
        <row r="629">
          <cell r="B629" t="str">
            <v>CT5303304</v>
          </cell>
          <cell r="C629">
            <v>14070</v>
          </cell>
          <cell r="D629">
            <v>780</v>
          </cell>
          <cell r="E629">
            <v>14850</v>
          </cell>
          <cell r="F629">
            <v>5.2</v>
          </cell>
          <cell r="G629">
            <v>14640</v>
          </cell>
          <cell r="H629">
            <v>13760</v>
          </cell>
          <cell r="I629">
            <v>880</v>
          </cell>
          <cell r="J629">
            <v>5.9868173901164576</v>
          </cell>
        </row>
        <row r="630">
          <cell r="B630" t="str">
            <v>CT5303305</v>
          </cell>
          <cell r="C630">
            <v>14200</v>
          </cell>
          <cell r="D630">
            <v>900</v>
          </cell>
          <cell r="E630">
            <v>15100</v>
          </cell>
          <cell r="F630">
            <v>6</v>
          </cell>
          <cell r="G630">
            <v>14730</v>
          </cell>
          <cell r="H630">
            <v>13850</v>
          </cell>
          <cell r="I630">
            <v>880</v>
          </cell>
          <cell r="J630">
            <v>5.9800168336455704</v>
          </cell>
        </row>
        <row r="631">
          <cell r="B631" t="str">
            <v>CT5303306</v>
          </cell>
          <cell r="C631">
            <v>12250</v>
          </cell>
          <cell r="D631">
            <v>950</v>
          </cell>
          <cell r="E631">
            <v>13200</v>
          </cell>
          <cell r="F631">
            <v>7.2</v>
          </cell>
          <cell r="G631">
            <v>14480</v>
          </cell>
          <cell r="H631">
            <v>13580</v>
          </cell>
          <cell r="I631">
            <v>890</v>
          </cell>
          <cell r="J631">
            <v>6.1617103581666841</v>
          </cell>
        </row>
        <row r="632">
          <cell r="B632" t="str">
            <v>CT5303307</v>
          </cell>
          <cell r="C632">
            <v>11800</v>
          </cell>
          <cell r="D632">
            <v>1020</v>
          </cell>
          <cell r="E632">
            <v>12820</v>
          </cell>
          <cell r="F632">
            <v>8</v>
          </cell>
          <cell r="G632">
            <v>14240</v>
          </cell>
          <cell r="H632">
            <v>13330</v>
          </cell>
          <cell r="I632">
            <v>910</v>
          </cell>
          <cell r="J632">
            <v>6.3956579752600895</v>
          </cell>
        </row>
        <row r="633">
          <cell r="B633" t="str">
            <v>CT5303308</v>
          </cell>
          <cell r="C633" t="str">
            <v/>
          </cell>
          <cell r="D633" t="str">
            <v/>
          </cell>
          <cell r="E633" t="e">
            <v>#VALUE!</v>
          </cell>
          <cell r="F633" t="str">
            <v/>
          </cell>
          <cell r="G633" t="str">
            <v/>
          </cell>
          <cell r="H633" t="str">
            <v/>
          </cell>
          <cell r="I633" t="str">
            <v/>
          </cell>
          <cell r="J633" t="str">
            <v/>
          </cell>
        </row>
        <row r="634">
          <cell r="B634" t="str">
            <v>CT5303309</v>
          </cell>
          <cell r="C634" t="str">
            <v/>
          </cell>
          <cell r="D634" t="str">
            <v/>
          </cell>
          <cell r="E634" t="e">
            <v>#VALUE!</v>
          </cell>
          <cell r="F634" t="str">
            <v/>
          </cell>
          <cell r="G634" t="str">
            <v/>
          </cell>
          <cell r="H634" t="str">
            <v/>
          </cell>
          <cell r="I634" t="str">
            <v/>
          </cell>
          <cell r="J634" t="str">
            <v/>
          </cell>
        </row>
        <row r="635">
          <cell r="B635" t="str">
            <v>CT53033010</v>
          </cell>
          <cell r="C635" t="str">
            <v/>
          </cell>
          <cell r="D635" t="str">
            <v/>
          </cell>
          <cell r="E635" t="e">
            <v>#VALUE!</v>
          </cell>
          <cell r="F635" t="str">
            <v/>
          </cell>
          <cell r="G635" t="str">
            <v/>
          </cell>
          <cell r="H635" t="str">
            <v/>
          </cell>
          <cell r="I635" t="str">
            <v/>
          </cell>
          <cell r="J635" t="str">
            <v/>
          </cell>
        </row>
        <row r="636">
          <cell r="B636" t="str">
            <v>CT53033011</v>
          </cell>
          <cell r="C636" t="str">
            <v/>
          </cell>
          <cell r="D636" t="str">
            <v/>
          </cell>
          <cell r="E636" t="e">
            <v>#VALUE!</v>
          </cell>
          <cell r="F636" t="str">
            <v/>
          </cell>
          <cell r="G636" t="str">
            <v/>
          </cell>
          <cell r="H636" t="str">
            <v/>
          </cell>
          <cell r="I636" t="str">
            <v/>
          </cell>
          <cell r="J636" t="str">
            <v/>
          </cell>
        </row>
        <row r="637">
          <cell r="B637" t="str">
            <v>CT53033012</v>
          </cell>
          <cell r="C637" t="str">
            <v/>
          </cell>
          <cell r="D637" t="str">
            <v/>
          </cell>
          <cell r="E637" t="e">
            <v>#VALUE!</v>
          </cell>
          <cell r="F637" t="str">
            <v/>
          </cell>
          <cell r="G637" t="str">
            <v/>
          </cell>
          <cell r="H637" t="str">
            <v/>
          </cell>
          <cell r="I637" t="str">
            <v/>
          </cell>
          <cell r="J637" t="str">
            <v/>
          </cell>
        </row>
        <row r="638">
          <cell r="B638" t="str">
            <v>CT5303201</v>
          </cell>
          <cell r="C638">
            <v>24820</v>
          </cell>
          <cell r="D638">
            <v>2780</v>
          </cell>
          <cell r="E638">
            <v>27600</v>
          </cell>
          <cell r="F638">
            <v>10.1</v>
          </cell>
          <cell r="G638">
            <v>27600</v>
          </cell>
          <cell r="H638">
            <v>24820</v>
          </cell>
          <cell r="I638">
            <v>2780</v>
          </cell>
          <cell r="J638">
            <v>10.1</v>
          </cell>
        </row>
        <row r="639">
          <cell r="B639" t="str">
            <v>CT5303202</v>
          </cell>
          <cell r="C639">
            <v>24910</v>
          </cell>
          <cell r="D639">
            <v>2590</v>
          </cell>
          <cell r="E639">
            <v>27500</v>
          </cell>
          <cell r="F639">
            <v>9.4</v>
          </cell>
          <cell r="G639">
            <v>27550</v>
          </cell>
          <cell r="H639">
            <v>24870</v>
          </cell>
          <cell r="I639">
            <v>2680</v>
          </cell>
          <cell r="J639">
            <v>9.7391872515744957</v>
          </cell>
        </row>
        <row r="640">
          <cell r="B640" t="str">
            <v>CT5303203</v>
          </cell>
          <cell r="C640">
            <v>25240</v>
          </cell>
          <cell r="D640">
            <v>2470</v>
          </cell>
          <cell r="E640">
            <v>27710</v>
          </cell>
          <cell r="F640">
            <v>8.9</v>
          </cell>
          <cell r="G640">
            <v>27600</v>
          </cell>
          <cell r="H640">
            <v>24990</v>
          </cell>
          <cell r="I640">
            <v>2610</v>
          </cell>
          <cell r="J640">
            <v>9.4669983336150896</v>
          </cell>
        </row>
        <row r="641">
          <cell r="B641" t="str">
            <v>CT5303204</v>
          </cell>
          <cell r="C641">
            <v>25320</v>
          </cell>
          <cell r="D641">
            <v>2210</v>
          </cell>
          <cell r="E641">
            <v>27530</v>
          </cell>
          <cell r="F641">
            <v>8</v>
          </cell>
          <cell r="G641">
            <v>27590</v>
          </cell>
          <cell r="H641">
            <v>25070</v>
          </cell>
          <cell r="I641">
            <v>2510</v>
          </cell>
          <cell r="J641">
            <v>9.1044208007830196</v>
          </cell>
        </row>
        <row r="642">
          <cell r="B642" t="str">
            <v>CT5303205</v>
          </cell>
          <cell r="C642">
            <v>25450</v>
          </cell>
          <cell r="D642">
            <v>2200</v>
          </cell>
          <cell r="E642">
            <v>27650</v>
          </cell>
          <cell r="F642">
            <v>8</v>
          </cell>
          <cell r="G642">
            <v>27600</v>
          </cell>
          <cell r="H642">
            <v>25150</v>
          </cell>
          <cell r="I642">
            <v>2450</v>
          </cell>
          <cell r="J642">
            <v>8.8758125412158595</v>
          </cell>
        </row>
        <row r="643">
          <cell r="B643" t="str">
            <v>CT5303206</v>
          </cell>
          <cell r="C643">
            <v>26380</v>
          </cell>
          <cell r="D643">
            <v>2170</v>
          </cell>
          <cell r="E643">
            <v>28550</v>
          </cell>
          <cell r="F643">
            <v>7.6</v>
          </cell>
          <cell r="G643">
            <v>27760</v>
          </cell>
          <cell r="H643">
            <v>25350</v>
          </cell>
          <cell r="I643">
            <v>2400</v>
          </cell>
          <cell r="J643">
            <v>8.6544292928383122</v>
          </cell>
        </row>
        <row r="644">
          <cell r="B644" t="str">
            <v>CT5303207</v>
          </cell>
          <cell r="C644">
            <v>25810</v>
          </cell>
          <cell r="D644">
            <v>2200</v>
          </cell>
          <cell r="E644">
            <v>28010</v>
          </cell>
          <cell r="F644">
            <v>7.9</v>
          </cell>
          <cell r="G644">
            <v>27790</v>
          </cell>
          <cell r="H644">
            <v>25420</v>
          </cell>
          <cell r="I644">
            <v>2370</v>
          </cell>
          <cell r="J644">
            <v>8.5395753342276919</v>
          </cell>
        </row>
        <row r="645">
          <cell r="B645" t="str">
            <v>CT5303208</v>
          </cell>
          <cell r="C645" t="str">
            <v/>
          </cell>
          <cell r="D645" t="str">
            <v/>
          </cell>
          <cell r="E645" t="e">
            <v>#VALUE!</v>
          </cell>
          <cell r="F645" t="str">
            <v/>
          </cell>
          <cell r="G645" t="str">
            <v/>
          </cell>
          <cell r="H645" t="str">
            <v/>
          </cell>
          <cell r="I645" t="str">
            <v/>
          </cell>
          <cell r="J645" t="str">
            <v/>
          </cell>
        </row>
        <row r="646">
          <cell r="B646" t="str">
            <v>CT5303209</v>
          </cell>
          <cell r="C646" t="str">
            <v/>
          </cell>
          <cell r="D646" t="str">
            <v/>
          </cell>
          <cell r="E646" t="e">
            <v>#VALUE!</v>
          </cell>
          <cell r="F646" t="str">
            <v/>
          </cell>
          <cell r="G646" t="str">
            <v/>
          </cell>
          <cell r="H646" t="str">
            <v/>
          </cell>
          <cell r="I646" t="str">
            <v/>
          </cell>
          <cell r="J646" t="str">
            <v/>
          </cell>
        </row>
        <row r="647">
          <cell r="B647" t="str">
            <v>CT53032010</v>
          </cell>
          <cell r="C647" t="str">
            <v/>
          </cell>
          <cell r="D647" t="str">
            <v/>
          </cell>
          <cell r="E647" t="e">
            <v>#VALUE!</v>
          </cell>
          <cell r="F647" t="str">
            <v/>
          </cell>
          <cell r="G647" t="str">
            <v/>
          </cell>
          <cell r="H647" t="str">
            <v/>
          </cell>
          <cell r="I647" t="str">
            <v/>
          </cell>
          <cell r="J647" t="str">
            <v/>
          </cell>
        </row>
        <row r="648">
          <cell r="B648" t="str">
            <v>CT53032011</v>
          </cell>
          <cell r="C648" t="str">
            <v/>
          </cell>
          <cell r="D648" t="str">
            <v/>
          </cell>
          <cell r="E648" t="e">
            <v>#VALUE!</v>
          </cell>
          <cell r="F648" t="str">
            <v/>
          </cell>
          <cell r="G648" t="str">
            <v/>
          </cell>
          <cell r="H648" t="str">
            <v/>
          </cell>
          <cell r="I648" t="str">
            <v/>
          </cell>
          <cell r="J648" t="str">
            <v/>
          </cell>
        </row>
        <row r="649">
          <cell r="B649" t="str">
            <v>CT53032012</v>
          </cell>
          <cell r="C649" t="str">
            <v/>
          </cell>
          <cell r="D649" t="str">
            <v/>
          </cell>
          <cell r="E649" t="e">
            <v>#VALUE!</v>
          </cell>
          <cell r="F649" t="str">
            <v/>
          </cell>
          <cell r="G649" t="str">
            <v/>
          </cell>
          <cell r="H649" t="str">
            <v/>
          </cell>
          <cell r="I649" t="str">
            <v/>
          </cell>
          <cell r="J649" t="str">
            <v/>
          </cell>
        </row>
        <row r="650">
          <cell r="B650" t="str">
            <v>CT5303001</v>
          </cell>
          <cell r="C650">
            <v>23000</v>
          </cell>
          <cell r="D650">
            <v>1940</v>
          </cell>
          <cell r="E650">
            <v>24940</v>
          </cell>
          <cell r="F650">
            <v>7.8</v>
          </cell>
          <cell r="G650">
            <v>24950</v>
          </cell>
          <cell r="H650">
            <v>23000</v>
          </cell>
          <cell r="I650">
            <v>1940</v>
          </cell>
          <cell r="J650">
            <v>7.8</v>
          </cell>
        </row>
        <row r="651">
          <cell r="B651" t="str">
            <v>CT5303002</v>
          </cell>
          <cell r="C651">
            <v>23020</v>
          </cell>
          <cell r="D651">
            <v>1990</v>
          </cell>
          <cell r="E651">
            <v>25010</v>
          </cell>
          <cell r="F651">
            <v>8</v>
          </cell>
          <cell r="G651">
            <v>24980</v>
          </cell>
          <cell r="H651">
            <v>23010</v>
          </cell>
          <cell r="I651">
            <v>1970</v>
          </cell>
          <cell r="J651">
            <v>7.8761433918456403</v>
          </cell>
        </row>
        <row r="652">
          <cell r="B652" t="str">
            <v>CT5303003</v>
          </cell>
          <cell r="C652">
            <v>23280</v>
          </cell>
          <cell r="D652">
            <v>2060</v>
          </cell>
          <cell r="E652">
            <v>25340</v>
          </cell>
          <cell r="F652">
            <v>8.1</v>
          </cell>
          <cell r="G652">
            <v>25100</v>
          </cell>
          <cell r="H652">
            <v>23100</v>
          </cell>
          <cell r="I652">
            <v>2000</v>
          </cell>
          <cell r="J652">
            <v>7.9643549629472234</v>
          </cell>
        </row>
        <row r="653">
          <cell r="B653" t="str">
            <v>CT5303004</v>
          </cell>
          <cell r="C653">
            <v>23280</v>
          </cell>
          <cell r="D653">
            <v>1850</v>
          </cell>
          <cell r="E653">
            <v>25130</v>
          </cell>
          <cell r="F653">
            <v>7.4</v>
          </cell>
          <cell r="G653">
            <v>25110</v>
          </cell>
          <cell r="H653">
            <v>23140</v>
          </cell>
          <cell r="I653">
            <v>1960</v>
          </cell>
          <cell r="J653">
            <v>7.8109596407197559</v>
          </cell>
        </row>
        <row r="654">
          <cell r="B654" t="str">
            <v>CT5303005</v>
          </cell>
          <cell r="C654">
            <v>23260</v>
          </cell>
          <cell r="D654">
            <v>1910</v>
          </cell>
          <cell r="E654">
            <v>25170</v>
          </cell>
          <cell r="F654">
            <v>7.6</v>
          </cell>
          <cell r="G654">
            <v>25120</v>
          </cell>
          <cell r="H654">
            <v>23170</v>
          </cell>
          <cell r="I654">
            <v>1950</v>
          </cell>
          <cell r="J654">
            <v>7.768683217351148</v>
          </cell>
        </row>
        <row r="655">
          <cell r="B655" t="str">
            <v>CT5303006</v>
          </cell>
          <cell r="C655">
            <v>22690</v>
          </cell>
          <cell r="D655">
            <v>1960</v>
          </cell>
          <cell r="E655">
            <v>24650</v>
          </cell>
          <cell r="F655">
            <v>8</v>
          </cell>
          <cell r="G655">
            <v>25040</v>
          </cell>
          <cell r="H655">
            <v>23090</v>
          </cell>
          <cell r="I655">
            <v>1950</v>
          </cell>
          <cell r="J655">
            <v>7.8005404470002526</v>
          </cell>
        </row>
        <row r="656">
          <cell r="B656" t="str">
            <v>CT5303007</v>
          </cell>
          <cell r="C656">
            <v>22420</v>
          </cell>
          <cell r="D656">
            <v>1890</v>
          </cell>
          <cell r="E656">
            <v>24310</v>
          </cell>
          <cell r="F656">
            <v>7.8</v>
          </cell>
          <cell r="G656">
            <v>24940</v>
          </cell>
          <cell r="H656">
            <v>22990</v>
          </cell>
          <cell r="I656">
            <v>1940</v>
          </cell>
          <cell r="J656">
            <v>7.7978024999713567</v>
          </cell>
        </row>
        <row r="657">
          <cell r="B657" t="str">
            <v>CT5303008</v>
          </cell>
          <cell r="C657" t="str">
            <v/>
          </cell>
          <cell r="D657" t="str">
            <v/>
          </cell>
          <cell r="E657" t="e">
            <v>#VALUE!</v>
          </cell>
          <cell r="F657" t="str">
            <v/>
          </cell>
          <cell r="G657" t="str">
            <v/>
          </cell>
          <cell r="H657" t="str">
            <v/>
          </cell>
          <cell r="I657" t="str">
            <v/>
          </cell>
          <cell r="J657" t="str">
            <v/>
          </cell>
        </row>
        <row r="658">
          <cell r="B658" t="str">
            <v>CT5303009</v>
          </cell>
          <cell r="C658" t="str">
            <v/>
          </cell>
          <cell r="D658" t="str">
            <v/>
          </cell>
          <cell r="E658" t="e">
            <v>#VALUE!</v>
          </cell>
          <cell r="F658" t="str">
            <v/>
          </cell>
          <cell r="G658" t="str">
            <v/>
          </cell>
          <cell r="H658" t="str">
            <v/>
          </cell>
          <cell r="I658" t="str">
            <v/>
          </cell>
          <cell r="J658" t="str">
            <v/>
          </cell>
        </row>
        <row r="659">
          <cell r="B659" t="str">
            <v>CT53030010</v>
          </cell>
          <cell r="C659" t="str">
            <v/>
          </cell>
          <cell r="D659" t="str">
            <v/>
          </cell>
          <cell r="E659" t="e">
            <v>#VALUE!</v>
          </cell>
          <cell r="F659" t="str">
            <v/>
          </cell>
          <cell r="G659" t="str">
            <v/>
          </cell>
          <cell r="H659" t="str">
            <v/>
          </cell>
          <cell r="I659" t="str">
            <v/>
          </cell>
          <cell r="J659" t="str">
            <v/>
          </cell>
        </row>
        <row r="660">
          <cell r="B660" t="str">
            <v>CT53030011</v>
          </cell>
          <cell r="C660" t="str">
            <v/>
          </cell>
          <cell r="D660" t="str">
            <v/>
          </cell>
          <cell r="E660" t="e">
            <v>#VALUE!</v>
          </cell>
          <cell r="F660" t="str">
            <v/>
          </cell>
          <cell r="G660" t="str">
            <v/>
          </cell>
          <cell r="H660" t="str">
            <v/>
          </cell>
          <cell r="I660" t="str">
            <v/>
          </cell>
          <cell r="J660" t="str">
            <v/>
          </cell>
        </row>
        <row r="661">
          <cell r="B661" t="str">
            <v>CT53030012</v>
          </cell>
          <cell r="C661" t="str">
            <v/>
          </cell>
          <cell r="D661" t="str">
            <v/>
          </cell>
          <cell r="E661" t="e">
            <v>#VALUE!</v>
          </cell>
          <cell r="F661" t="str">
            <v/>
          </cell>
          <cell r="G661" t="str">
            <v/>
          </cell>
          <cell r="H661" t="str">
            <v/>
          </cell>
          <cell r="I661" t="str">
            <v/>
          </cell>
          <cell r="J661" t="str">
            <v/>
          </cell>
        </row>
        <row r="662">
          <cell r="B662" t="str">
            <v>CT5302901</v>
          </cell>
          <cell r="C662">
            <v>29090</v>
          </cell>
          <cell r="D662">
            <v>2340</v>
          </cell>
          <cell r="E662">
            <v>31430</v>
          </cell>
          <cell r="F662">
            <v>7.4</v>
          </cell>
          <cell r="G662">
            <v>31440</v>
          </cell>
          <cell r="H662">
            <v>29090</v>
          </cell>
          <cell r="I662">
            <v>2340</v>
          </cell>
          <cell r="J662">
            <v>7.4</v>
          </cell>
        </row>
        <row r="663">
          <cell r="B663" t="str">
            <v>CT5302902</v>
          </cell>
          <cell r="C663">
            <v>29260</v>
          </cell>
          <cell r="D663">
            <v>2350</v>
          </cell>
          <cell r="E663">
            <v>31610</v>
          </cell>
          <cell r="F663">
            <v>7.4</v>
          </cell>
          <cell r="G663">
            <v>31520</v>
          </cell>
          <cell r="H663">
            <v>29180</v>
          </cell>
          <cell r="I663">
            <v>2350</v>
          </cell>
          <cell r="J663">
            <v>7.444007359939091</v>
          </cell>
        </row>
        <row r="664">
          <cell r="B664" t="str">
            <v>CT5302903</v>
          </cell>
          <cell r="C664">
            <v>29150</v>
          </cell>
          <cell r="D664">
            <v>2310</v>
          </cell>
          <cell r="E664">
            <v>31460</v>
          </cell>
          <cell r="F664">
            <v>7.4</v>
          </cell>
          <cell r="G664">
            <v>31500</v>
          </cell>
          <cell r="H664">
            <v>29170</v>
          </cell>
          <cell r="I664">
            <v>2340</v>
          </cell>
          <cell r="J664">
            <v>7.4132859289357294</v>
          </cell>
        </row>
        <row r="665">
          <cell r="B665" t="str">
            <v>CT5302904</v>
          </cell>
          <cell r="C665">
            <v>28860</v>
          </cell>
          <cell r="D665">
            <v>2100</v>
          </cell>
          <cell r="E665">
            <v>30960</v>
          </cell>
          <cell r="F665">
            <v>6.8</v>
          </cell>
          <cell r="G665">
            <v>31370</v>
          </cell>
          <cell r="H665">
            <v>29090</v>
          </cell>
          <cell r="I665">
            <v>2280</v>
          </cell>
          <cell r="J665">
            <v>7.257119628894575</v>
          </cell>
        </row>
        <row r="666">
          <cell r="B666" t="str">
            <v>CT5302905</v>
          </cell>
          <cell r="C666">
            <v>29030</v>
          </cell>
          <cell r="D666">
            <v>2160</v>
          </cell>
          <cell r="E666">
            <v>31190</v>
          </cell>
          <cell r="F666">
            <v>6.9</v>
          </cell>
          <cell r="G666">
            <v>31330</v>
          </cell>
          <cell r="H666">
            <v>29080</v>
          </cell>
          <cell r="I666">
            <v>2250</v>
          </cell>
          <cell r="J666">
            <v>7.1888206529371956</v>
          </cell>
        </row>
        <row r="667">
          <cell r="B667" t="str">
            <v>CT5302906</v>
          </cell>
          <cell r="C667">
            <v>29010</v>
          </cell>
          <cell r="D667">
            <v>2600</v>
          </cell>
          <cell r="E667">
            <v>31610</v>
          </cell>
          <cell r="F667">
            <v>8.1999999999999993</v>
          </cell>
          <cell r="G667">
            <v>31380</v>
          </cell>
          <cell r="H667">
            <v>29070</v>
          </cell>
          <cell r="I667">
            <v>2310</v>
          </cell>
          <cell r="J667">
            <v>7.3650102254920196</v>
          </cell>
        </row>
        <row r="668">
          <cell r="B668" t="str">
            <v>CT5302907</v>
          </cell>
          <cell r="C668">
            <v>28980</v>
          </cell>
          <cell r="D668">
            <v>2470</v>
          </cell>
          <cell r="E668">
            <v>31450</v>
          </cell>
          <cell r="F668">
            <v>7.8</v>
          </cell>
          <cell r="G668">
            <v>31390</v>
          </cell>
          <cell r="H668">
            <v>29050</v>
          </cell>
          <cell r="I668">
            <v>2330</v>
          </cell>
          <cell r="J668">
            <v>7.433216660673728</v>
          </cell>
        </row>
        <row r="669">
          <cell r="B669" t="str">
            <v>CT5302908</v>
          </cell>
          <cell r="C669" t="str">
            <v/>
          </cell>
          <cell r="D669" t="str">
            <v/>
          </cell>
          <cell r="E669" t="e">
            <v>#VALUE!</v>
          </cell>
          <cell r="F669" t="str">
            <v/>
          </cell>
          <cell r="G669" t="str">
            <v/>
          </cell>
          <cell r="H669" t="str">
            <v/>
          </cell>
          <cell r="I669" t="str">
            <v/>
          </cell>
          <cell r="J669" t="str">
            <v/>
          </cell>
        </row>
        <row r="670">
          <cell r="B670" t="str">
            <v>CT5302909</v>
          </cell>
          <cell r="C670" t="str">
            <v/>
          </cell>
          <cell r="D670" t="str">
            <v/>
          </cell>
          <cell r="E670" t="e">
            <v>#VALUE!</v>
          </cell>
          <cell r="F670" t="str">
            <v/>
          </cell>
          <cell r="G670" t="str">
            <v/>
          </cell>
          <cell r="H670" t="str">
            <v/>
          </cell>
          <cell r="I670" t="str">
            <v/>
          </cell>
          <cell r="J670" t="str">
            <v/>
          </cell>
        </row>
        <row r="671">
          <cell r="B671" t="str">
            <v>CT53029010</v>
          </cell>
          <cell r="C671" t="str">
            <v/>
          </cell>
          <cell r="D671" t="str">
            <v/>
          </cell>
          <cell r="E671" t="e">
            <v>#VALUE!</v>
          </cell>
          <cell r="F671" t="str">
            <v/>
          </cell>
          <cell r="G671" t="str">
            <v/>
          </cell>
          <cell r="H671" t="str">
            <v/>
          </cell>
          <cell r="I671" t="str">
            <v/>
          </cell>
          <cell r="J671" t="str">
            <v/>
          </cell>
        </row>
        <row r="672">
          <cell r="B672" t="str">
            <v>CT53029011</v>
          </cell>
          <cell r="C672" t="str">
            <v/>
          </cell>
          <cell r="D672" t="str">
            <v/>
          </cell>
          <cell r="E672" t="e">
            <v>#VALUE!</v>
          </cell>
          <cell r="F672" t="str">
            <v/>
          </cell>
          <cell r="G672" t="str">
            <v/>
          </cell>
          <cell r="H672" t="str">
            <v/>
          </cell>
          <cell r="I672" t="str">
            <v/>
          </cell>
          <cell r="J672" t="str">
            <v/>
          </cell>
        </row>
        <row r="673">
          <cell r="B673" t="str">
            <v>CT53029012</v>
          </cell>
          <cell r="C673" t="str">
            <v/>
          </cell>
          <cell r="D673" t="str">
            <v/>
          </cell>
          <cell r="E673" t="e">
            <v>#VALUE!</v>
          </cell>
          <cell r="F673" t="str">
            <v/>
          </cell>
          <cell r="G673" t="str">
            <v/>
          </cell>
          <cell r="H673" t="str">
            <v/>
          </cell>
          <cell r="I673" t="str">
            <v/>
          </cell>
          <cell r="J673" t="str">
            <v/>
          </cell>
        </row>
        <row r="674">
          <cell r="B674" t="str">
            <v>CT5302801</v>
          </cell>
          <cell r="C674">
            <v>42690</v>
          </cell>
          <cell r="D674">
            <v>4640</v>
          </cell>
          <cell r="E674">
            <v>47330</v>
          </cell>
          <cell r="F674">
            <v>9.8000000000000007</v>
          </cell>
          <cell r="G674">
            <v>47340</v>
          </cell>
          <cell r="H674">
            <v>42690</v>
          </cell>
          <cell r="I674">
            <v>4640</v>
          </cell>
          <cell r="J674">
            <v>9.8000000000000007</v>
          </cell>
        </row>
        <row r="675">
          <cell r="B675" t="str">
            <v>CT5302802</v>
          </cell>
          <cell r="C675">
            <v>42930</v>
          </cell>
          <cell r="D675">
            <v>4670</v>
          </cell>
          <cell r="E675">
            <v>47600</v>
          </cell>
          <cell r="F675">
            <v>9.8000000000000007</v>
          </cell>
          <cell r="G675">
            <v>47470</v>
          </cell>
          <cell r="H675">
            <v>42810</v>
          </cell>
          <cell r="I675">
            <v>4660</v>
          </cell>
          <cell r="J675">
            <v>9.8143096384146276</v>
          </cell>
        </row>
        <row r="676">
          <cell r="B676" t="str">
            <v>CT5302803</v>
          </cell>
          <cell r="C676">
            <v>42780</v>
          </cell>
          <cell r="D676">
            <v>4570</v>
          </cell>
          <cell r="E676">
            <v>47350</v>
          </cell>
          <cell r="F676">
            <v>9.6999999999999993</v>
          </cell>
          <cell r="G676">
            <v>47430</v>
          </cell>
          <cell r="H676">
            <v>42800</v>
          </cell>
          <cell r="I676">
            <v>4630</v>
          </cell>
          <cell r="J676">
            <v>9.7617541640312044</v>
          </cell>
        </row>
        <row r="677">
          <cell r="B677" t="str">
            <v>CT5302804</v>
          </cell>
          <cell r="C677">
            <v>42350</v>
          </cell>
          <cell r="D677">
            <v>4410</v>
          </cell>
          <cell r="E677">
            <v>46760</v>
          </cell>
          <cell r="F677">
            <v>9.4</v>
          </cell>
          <cell r="G677">
            <v>47260</v>
          </cell>
          <cell r="H677">
            <v>42690</v>
          </cell>
          <cell r="I677">
            <v>4580</v>
          </cell>
          <cell r="J677">
            <v>9.68055900851102</v>
          </cell>
        </row>
        <row r="678">
          <cell r="B678" t="str">
            <v>CT5302805</v>
          </cell>
          <cell r="C678">
            <v>42600</v>
          </cell>
          <cell r="D678">
            <v>4420</v>
          </cell>
          <cell r="E678">
            <v>47020</v>
          </cell>
          <cell r="F678">
            <v>9.4</v>
          </cell>
          <cell r="G678">
            <v>47210</v>
          </cell>
          <cell r="H678">
            <v>42670</v>
          </cell>
          <cell r="I678">
            <v>4540</v>
          </cell>
          <cell r="J678">
            <v>9.6245493787675329</v>
          </cell>
        </row>
        <row r="679">
          <cell r="B679" t="str">
            <v>CT5302806</v>
          </cell>
          <cell r="C679">
            <v>42560</v>
          </cell>
          <cell r="D679">
            <v>4700</v>
          </cell>
          <cell r="E679">
            <v>47260</v>
          </cell>
          <cell r="F679">
            <v>9.9</v>
          </cell>
          <cell r="G679">
            <v>47220</v>
          </cell>
          <cell r="H679">
            <v>42650</v>
          </cell>
          <cell r="I679">
            <v>4570</v>
          </cell>
          <cell r="J679">
            <v>9.6763035567430595</v>
          </cell>
        </row>
        <row r="680">
          <cell r="B680" t="str">
            <v>CT5302807</v>
          </cell>
          <cell r="C680">
            <v>42530</v>
          </cell>
          <cell r="D680">
            <v>4700</v>
          </cell>
          <cell r="E680">
            <v>47230</v>
          </cell>
          <cell r="F680">
            <v>10</v>
          </cell>
          <cell r="G680">
            <v>47220</v>
          </cell>
          <cell r="H680">
            <v>42630</v>
          </cell>
          <cell r="I680">
            <v>4590</v>
          </cell>
          <cell r="J680">
            <v>9.7158692127108601</v>
          </cell>
        </row>
        <row r="681">
          <cell r="B681" t="str">
            <v>CT5302808</v>
          </cell>
          <cell r="C681" t="str">
            <v/>
          </cell>
          <cell r="D681" t="str">
            <v/>
          </cell>
          <cell r="E681" t="e">
            <v>#VALUE!</v>
          </cell>
          <cell r="F681" t="str">
            <v/>
          </cell>
          <cell r="G681" t="str">
            <v/>
          </cell>
          <cell r="H681" t="str">
            <v/>
          </cell>
          <cell r="I681" t="str">
            <v/>
          </cell>
          <cell r="J681" t="str">
            <v/>
          </cell>
        </row>
        <row r="682">
          <cell r="B682" t="str">
            <v>CT5302809</v>
          </cell>
          <cell r="C682" t="str">
            <v/>
          </cell>
          <cell r="D682" t="str">
            <v/>
          </cell>
          <cell r="E682" t="e">
            <v>#VALUE!</v>
          </cell>
          <cell r="F682" t="str">
            <v/>
          </cell>
          <cell r="G682" t="str">
            <v/>
          </cell>
          <cell r="H682" t="str">
            <v/>
          </cell>
          <cell r="I682" t="str">
            <v/>
          </cell>
          <cell r="J682" t="str">
            <v/>
          </cell>
        </row>
        <row r="683">
          <cell r="B683" t="str">
            <v>CT53028010</v>
          </cell>
          <cell r="C683" t="str">
            <v/>
          </cell>
          <cell r="D683" t="str">
            <v/>
          </cell>
          <cell r="E683" t="e">
            <v>#VALUE!</v>
          </cell>
          <cell r="F683" t="str">
            <v/>
          </cell>
          <cell r="G683" t="str">
            <v/>
          </cell>
          <cell r="H683" t="str">
            <v/>
          </cell>
          <cell r="I683" t="str">
            <v/>
          </cell>
          <cell r="J683" t="str">
            <v/>
          </cell>
        </row>
        <row r="684">
          <cell r="B684" t="str">
            <v>CT53028011</v>
          </cell>
          <cell r="C684" t="str">
            <v/>
          </cell>
          <cell r="D684" t="str">
            <v/>
          </cell>
          <cell r="E684" t="e">
            <v>#VALUE!</v>
          </cell>
          <cell r="F684" t="str">
            <v/>
          </cell>
          <cell r="G684" t="str">
            <v/>
          </cell>
          <cell r="H684" t="str">
            <v/>
          </cell>
          <cell r="I684" t="str">
            <v/>
          </cell>
          <cell r="J684" t="str">
            <v/>
          </cell>
        </row>
        <row r="685">
          <cell r="B685" t="str">
            <v>CT53028012</v>
          </cell>
          <cell r="C685" t="str">
            <v/>
          </cell>
          <cell r="D685" t="str">
            <v/>
          </cell>
          <cell r="E685" t="e">
            <v>#VALUE!</v>
          </cell>
          <cell r="F685" t="str">
            <v/>
          </cell>
          <cell r="G685" t="str">
            <v/>
          </cell>
          <cell r="H685" t="str">
            <v/>
          </cell>
          <cell r="I685" t="str">
            <v/>
          </cell>
          <cell r="J685" t="str">
            <v/>
          </cell>
        </row>
        <row r="686">
          <cell r="B686" t="str">
            <v>CT5302701</v>
          </cell>
          <cell r="C686">
            <v>35330</v>
          </cell>
          <cell r="D686">
            <v>2810</v>
          </cell>
          <cell r="E686">
            <v>38140</v>
          </cell>
          <cell r="F686">
            <v>7.4</v>
          </cell>
          <cell r="G686">
            <v>38140</v>
          </cell>
          <cell r="H686">
            <v>35330</v>
          </cell>
          <cell r="I686">
            <v>2810</v>
          </cell>
          <cell r="J686">
            <v>7.4</v>
          </cell>
        </row>
        <row r="687">
          <cell r="B687" t="str">
            <v>CT5302702</v>
          </cell>
          <cell r="C687">
            <v>35460</v>
          </cell>
          <cell r="D687">
            <v>2840</v>
          </cell>
          <cell r="E687">
            <v>38300</v>
          </cell>
          <cell r="F687">
            <v>7.4</v>
          </cell>
          <cell r="G687">
            <v>38220</v>
          </cell>
          <cell r="H687">
            <v>35390</v>
          </cell>
          <cell r="I687">
            <v>2820</v>
          </cell>
          <cell r="J687">
            <v>7.3895750471006911</v>
          </cell>
        </row>
        <row r="688">
          <cell r="B688" t="str">
            <v>CT5302703</v>
          </cell>
          <cell r="C688">
            <v>35930</v>
          </cell>
          <cell r="D688">
            <v>2910</v>
          </cell>
          <cell r="E688">
            <v>38840</v>
          </cell>
          <cell r="F688">
            <v>7.5</v>
          </cell>
          <cell r="G688">
            <v>38420</v>
          </cell>
          <cell r="H688">
            <v>35570</v>
          </cell>
          <cell r="I688">
            <v>2850</v>
          </cell>
          <cell r="J688">
            <v>7.4210311711070815</v>
          </cell>
        </row>
        <row r="689">
          <cell r="B689" t="str">
            <v>CT5302704</v>
          </cell>
          <cell r="C689">
            <v>36040</v>
          </cell>
          <cell r="D689">
            <v>2540</v>
          </cell>
          <cell r="E689">
            <v>38580</v>
          </cell>
          <cell r="F689">
            <v>6.6</v>
          </cell>
          <cell r="G689">
            <v>38460</v>
          </cell>
          <cell r="H689">
            <v>35690</v>
          </cell>
          <cell r="I689">
            <v>2770</v>
          </cell>
          <cell r="J689">
            <v>7.2097134834381986</v>
          </cell>
        </row>
        <row r="690">
          <cell r="B690" t="str">
            <v>CT5302705</v>
          </cell>
          <cell r="C690">
            <v>36220</v>
          </cell>
          <cell r="D690">
            <v>2650</v>
          </cell>
          <cell r="E690">
            <v>38870</v>
          </cell>
          <cell r="F690">
            <v>6.8</v>
          </cell>
          <cell r="G690">
            <v>38540</v>
          </cell>
          <cell r="H690">
            <v>35800</v>
          </cell>
          <cell r="I690">
            <v>2750</v>
          </cell>
          <cell r="J690">
            <v>7.1324796081442878</v>
          </cell>
        </row>
        <row r="691">
          <cell r="B691" t="str">
            <v>CT5302706</v>
          </cell>
          <cell r="C691">
            <v>37550</v>
          </cell>
          <cell r="D691">
            <v>2770</v>
          </cell>
          <cell r="E691">
            <v>40320</v>
          </cell>
          <cell r="F691">
            <v>6.9</v>
          </cell>
          <cell r="G691">
            <v>38840</v>
          </cell>
          <cell r="H691">
            <v>36090</v>
          </cell>
          <cell r="I691">
            <v>2750</v>
          </cell>
          <cell r="J691">
            <v>7.0886988461554976</v>
          </cell>
        </row>
        <row r="692">
          <cell r="B692" t="str">
            <v>CT5302707</v>
          </cell>
          <cell r="C692">
            <v>36740</v>
          </cell>
          <cell r="D692">
            <v>2690</v>
          </cell>
          <cell r="E692">
            <v>39430</v>
          </cell>
          <cell r="F692">
            <v>6.8</v>
          </cell>
          <cell r="G692">
            <v>38930</v>
          </cell>
          <cell r="H692">
            <v>36180</v>
          </cell>
          <cell r="I692">
            <v>2740</v>
          </cell>
          <cell r="J692">
            <v>7.0511338405246606</v>
          </cell>
        </row>
        <row r="693">
          <cell r="B693" t="str">
            <v>CT5302708</v>
          </cell>
          <cell r="C693" t="str">
            <v/>
          </cell>
          <cell r="D693" t="str">
            <v/>
          </cell>
          <cell r="E693" t="e">
            <v>#VALUE!</v>
          </cell>
          <cell r="F693" t="str">
            <v/>
          </cell>
          <cell r="G693" t="str">
            <v/>
          </cell>
          <cell r="H693" t="str">
            <v/>
          </cell>
          <cell r="I693" t="str">
            <v/>
          </cell>
          <cell r="J693" t="str">
            <v/>
          </cell>
        </row>
        <row r="694">
          <cell r="B694" t="str">
            <v>CT5302709</v>
          </cell>
          <cell r="C694" t="str">
            <v/>
          </cell>
          <cell r="D694" t="str">
            <v/>
          </cell>
          <cell r="E694" t="e">
            <v>#VALUE!</v>
          </cell>
          <cell r="F694" t="str">
            <v/>
          </cell>
          <cell r="G694" t="str">
            <v/>
          </cell>
          <cell r="H694" t="str">
            <v/>
          </cell>
          <cell r="I694" t="str">
            <v/>
          </cell>
          <cell r="J694" t="str">
            <v/>
          </cell>
        </row>
        <row r="695">
          <cell r="B695" t="str">
            <v>CT53027010</v>
          </cell>
          <cell r="C695" t="str">
            <v/>
          </cell>
          <cell r="D695" t="str">
            <v/>
          </cell>
          <cell r="E695" t="e">
            <v>#VALUE!</v>
          </cell>
          <cell r="F695" t="str">
            <v/>
          </cell>
          <cell r="G695" t="str">
            <v/>
          </cell>
          <cell r="H695" t="str">
            <v/>
          </cell>
          <cell r="I695" t="str">
            <v/>
          </cell>
          <cell r="J695" t="str">
            <v/>
          </cell>
        </row>
        <row r="696">
          <cell r="B696" t="str">
            <v>CT53027011</v>
          </cell>
          <cell r="C696" t="str">
            <v/>
          </cell>
          <cell r="D696" t="str">
            <v/>
          </cell>
          <cell r="E696" t="e">
            <v>#VALUE!</v>
          </cell>
          <cell r="F696" t="str">
            <v/>
          </cell>
          <cell r="G696" t="str">
            <v/>
          </cell>
          <cell r="H696" t="str">
            <v/>
          </cell>
          <cell r="I696" t="str">
            <v/>
          </cell>
          <cell r="J696" t="str">
            <v/>
          </cell>
        </row>
        <row r="697">
          <cell r="B697" t="str">
            <v>CT53027012</v>
          </cell>
          <cell r="C697" t="str">
            <v/>
          </cell>
          <cell r="D697" t="str">
            <v/>
          </cell>
          <cell r="E697" t="e">
            <v>#VALUE!</v>
          </cell>
          <cell r="F697" t="str">
            <v/>
          </cell>
          <cell r="G697" t="str">
            <v/>
          </cell>
          <cell r="H697" t="str">
            <v/>
          </cell>
          <cell r="I697" t="str">
            <v/>
          </cell>
          <cell r="J697" t="str">
            <v/>
          </cell>
        </row>
        <row r="698">
          <cell r="B698" t="str">
            <v>CT5302501</v>
          </cell>
          <cell r="C698">
            <v>13320</v>
          </cell>
          <cell r="D698">
            <v>1830</v>
          </cell>
          <cell r="E698">
            <v>15150</v>
          </cell>
          <cell r="F698">
            <v>12.1</v>
          </cell>
          <cell r="G698">
            <v>15140</v>
          </cell>
          <cell r="H698">
            <v>13320</v>
          </cell>
          <cell r="I698">
            <v>1830</v>
          </cell>
          <cell r="J698">
            <v>12.1</v>
          </cell>
        </row>
        <row r="699">
          <cell r="B699" t="str">
            <v>CT5302502</v>
          </cell>
          <cell r="C699">
            <v>13270</v>
          </cell>
          <cell r="D699">
            <v>1910</v>
          </cell>
          <cell r="E699">
            <v>15180</v>
          </cell>
          <cell r="F699">
            <v>12.6</v>
          </cell>
          <cell r="G699">
            <v>15160</v>
          </cell>
          <cell r="H699">
            <v>13290</v>
          </cell>
          <cell r="I699">
            <v>1870</v>
          </cell>
          <cell r="J699">
            <v>12.327682870523054</v>
          </cell>
        </row>
        <row r="700">
          <cell r="B700" t="str">
            <v>CT5302503</v>
          </cell>
          <cell r="C700">
            <v>13440</v>
          </cell>
          <cell r="D700">
            <v>1900</v>
          </cell>
          <cell r="E700">
            <v>15340</v>
          </cell>
          <cell r="F700">
            <v>12.4</v>
          </cell>
          <cell r="G700">
            <v>15220</v>
          </cell>
          <cell r="H700">
            <v>13340</v>
          </cell>
          <cell r="I700">
            <v>1880</v>
          </cell>
          <cell r="J700">
            <v>12.348896285914506</v>
          </cell>
        </row>
        <row r="701">
          <cell r="B701" t="str">
            <v>CT5302504</v>
          </cell>
          <cell r="C701">
            <v>13320</v>
          </cell>
          <cell r="D701">
            <v>1790</v>
          </cell>
          <cell r="E701">
            <v>15110</v>
          </cell>
          <cell r="F701">
            <v>11.9</v>
          </cell>
          <cell r="G701">
            <v>15200</v>
          </cell>
          <cell r="H701">
            <v>13340</v>
          </cell>
          <cell r="I701">
            <v>1860</v>
          </cell>
          <cell r="J701">
            <v>12.226061204343534</v>
          </cell>
        </row>
        <row r="702">
          <cell r="B702" t="str">
            <v>CT5302505</v>
          </cell>
          <cell r="C702">
            <v>13500</v>
          </cell>
          <cell r="D702">
            <v>1810</v>
          </cell>
          <cell r="E702">
            <v>15310</v>
          </cell>
          <cell r="F702">
            <v>11.8</v>
          </cell>
          <cell r="G702">
            <v>15220</v>
          </cell>
          <cell r="H702">
            <v>13370</v>
          </cell>
          <cell r="I702">
            <v>1850</v>
          </cell>
          <cell r="J702">
            <v>12.139055004271539</v>
          </cell>
        </row>
        <row r="703">
          <cell r="B703" t="str">
            <v>CT5302506</v>
          </cell>
          <cell r="C703">
            <v>13150</v>
          </cell>
          <cell r="D703">
            <v>1790</v>
          </cell>
          <cell r="E703">
            <v>14940</v>
          </cell>
          <cell r="F703">
            <v>12</v>
          </cell>
          <cell r="G703">
            <v>15170</v>
          </cell>
          <cell r="H703">
            <v>13330</v>
          </cell>
          <cell r="I703">
            <v>1840</v>
          </cell>
          <cell r="J703">
            <v>12.112855557630823</v>
          </cell>
        </row>
        <row r="704">
          <cell r="B704" t="str">
            <v>CT5302507</v>
          </cell>
          <cell r="C704">
            <v>13150</v>
          </cell>
          <cell r="D704">
            <v>1680</v>
          </cell>
          <cell r="E704">
            <v>14830</v>
          </cell>
          <cell r="F704">
            <v>11.3</v>
          </cell>
          <cell r="G704">
            <v>15120</v>
          </cell>
          <cell r="H704">
            <v>13310</v>
          </cell>
          <cell r="I704">
            <v>1820</v>
          </cell>
          <cell r="J704">
            <v>12.003438731070446</v>
          </cell>
        </row>
        <row r="705">
          <cell r="B705" t="str">
            <v>CT5302508</v>
          </cell>
          <cell r="C705" t="str">
            <v/>
          </cell>
          <cell r="D705" t="str">
            <v/>
          </cell>
          <cell r="E705" t="e">
            <v>#VALUE!</v>
          </cell>
          <cell r="F705" t="str">
            <v/>
          </cell>
          <cell r="G705" t="str">
            <v/>
          </cell>
          <cell r="H705" t="str">
            <v/>
          </cell>
          <cell r="I705" t="str">
            <v/>
          </cell>
          <cell r="J705" t="str">
            <v/>
          </cell>
        </row>
        <row r="706">
          <cell r="B706" t="str">
            <v>CT5302509</v>
          </cell>
          <cell r="C706" t="str">
            <v/>
          </cell>
          <cell r="D706" t="str">
            <v/>
          </cell>
          <cell r="E706" t="e">
            <v>#VALUE!</v>
          </cell>
          <cell r="F706" t="str">
            <v/>
          </cell>
          <cell r="G706" t="str">
            <v/>
          </cell>
          <cell r="H706" t="str">
            <v/>
          </cell>
          <cell r="I706" t="str">
            <v/>
          </cell>
          <cell r="J706" t="str">
            <v/>
          </cell>
        </row>
        <row r="707">
          <cell r="B707" t="str">
            <v>CT53025010</v>
          </cell>
          <cell r="C707" t="str">
            <v/>
          </cell>
          <cell r="D707" t="str">
            <v/>
          </cell>
          <cell r="E707" t="e">
            <v>#VALUE!</v>
          </cell>
          <cell r="F707" t="str">
            <v/>
          </cell>
          <cell r="G707" t="str">
            <v/>
          </cell>
          <cell r="H707" t="str">
            <v/>
          </cell>
          <cell r="I707" t="str">
            <v/>
          </cell>
          <cell r="J707" t="str">
            <v/>
          </cell>
        </row>
        <row r="708">
          <cell r="B708" t="str">
            <v>CT53025011</v>
          </cell>
          <cell r="C708" t="str">
            <v/>
          </cell>
          <cell r="D708" t="str">
            <v/>
          </cell>
          <cell r="E708" t="e">
            <v>#VALUE!</v>
          </cell>
          <cell r="F708" t="str">
            <v/>
          </cell>
          <cell r="G708" t="str">
            <v/>
          </cell>
          <cell r="H708" t="str">
            <v/>
          </cell>
          <cell r="I708" t="str">
            <v/>
          </cell>
          <cell r="J708" t="str">
            <v/>
          </cell>
        </row>
        <row r="709">
          <cell r="B709" t="str">
            <v>CT53025012</v>
          </cell>
          <cell r="C709" t="str">
            <v/>
          </cell>
          <cell r="D709" t="str">
            <v/>
          </cell>
          <cell r="E709" t="e">
            <v>#VALUE!</v>
          </cell>
          <cell r="F709" t="str">
            <v/>
          </cell>
          <cell r="G709" t="str">
            <v/>
          </cell>
          <cell r="H709" t="str">
            <v/>
          </cell>
          <cell r="I709" t="str">
            <v/>
          </cell>
          <cell r="J709" t="str">
            <v/>
          </cell>
        </row>
        <row r="710">
          <cell r="B710" t="str">
            <v>CT5302301</v>
          </cell>
          <cell r="C710">
            <v>22710</v>
          </cell>
          <cell r="D710">
            <v>2650</v>
          </cell>
          <cell r="E710">
            <v>25360</v>
          </cell>
          <cell r="F710">
            <v>10.5</v>
          </cell>
          <cell r="G710">
            <v>25360</v>
          </cell>
          <cell r="H710">
            <v>22710</v>
          </cell>
          <cell r="I710">
            <v>2650</v>
          </cell>
          <cell r="J710">
            <v>10.5</v>
          </cell>
        </row>
        <row r="711">
          <cell r="B711" t="str">
            <v>CT5302302</v>
          </cell>
          <cell r="C711">
            <v>22550</v>
          </cell>
          <cell r="D711">
            <v>2560</v>
          </cell>
          <cell r="E711">
            <v>25110</v>
          </cell>
          <cell r="F711">
            <v>10.199999999999999</v>
          </cell>
          <cell r="G711">
            <v>25240</v>
          </cell>
          <cell r="H711">
            <v>22630</v>
          </cell>
          <cell r="I711">
            <v>2610</v>
          </cell>
          <cell r="J711">
            <v>10.324536376604851</v>
          </cell>
        </row>
        <row r="712">
          <cell r="B712" t="str">
            <v>CT5302303</v>
          </cell>
          <cell r="C712">
            <v>22590</v>
          </cell>
          <cell r="D712">
            <v>2620</v>
          </cell>
          <cell r="E712">
            <v>25210</v>
          </cell>
          <cell r="F712">
            <v>10.4</v>
          </cell>
          <cell r="G712">
            <v>25230</v>
          </cell>
          <cell r="H712">
            <v>22620</v>
          </cell>
          <cell r="I712">
            <v>2610</v>
          </cell>
          <cell r="J712">
            <v>10.350158562367865</v>
          </cell>
        </row>
        <row r="713">
          <cell r="B713" t="str">
            <v>CT5302304</v>
          </cell>
          <cell r="C713">
            <v>22550</v>
          </cell>
          <cell r="D713">
            <v>2400</v>
          </cell>
          <cell r="E713">
            <v>24950</v>
          </cell>
          <cell r="F713">
            <v>9.6</v>
          </cell>
          <cell r="G713">
            <v>25160</v>
          </cell>
          <cell r="H713">
            <v>22600</v>
          </cell>
          <cell r="I713">
            <v>2560</v>
          </cell>
          <cell r="J713">
            <v>10.172119092101601</v>
          </cell>
        </row>
        <row r="714">
          <cell r="B714" t="str">
            <v>CT5302305</v>
          </cell>
          <cell r="C714">
            <v>22780</v>
          </cell>
          <cell r="D714">
            <v>2440</v>
          </cell>
          <cell r="E714">
            <v>25220</v>
          </cell>
          <cell r="F714">
            <v>9.6999999999999993</v>
          </cell>
          <cell r="G714">
            <v>25170</v>
          </cell>
          <cell r="H714">
            <v>22630</v>
          </cell>
          <cell r="I714">
            <v>2540</v>
          </cell>
          <cell r="J714">
            <v>10.071833828647712</v>
          </cell>
        </row>
        <row r="715">
          <cell r="B715" t="str">
            <v>CT5302306</v>
          </cell>
          <cell r="C715">
            <v>22330</v>
          </cell>
          <cell r="D715">
            <v>2500</v>
          </cell>
          <cell r="E715">
            <v>24830</v>
          </cell>
          <cell r="F715">
            <v>10.1</v>
          </cell>
          <cell r="G715">
            <v>25110</v>
          </cell>
          <cell r="H715">
            <v>22580</v>
          </cell>
          <cell r="I715">
            <v>2530</v>
          </cell>
          <cell r="J715">
            <v>10.070218753318468</v>
          </cell>
        </row>
        <row r="716">
          <cell r="B716" t="str">
            <v>CT5302307</v>
          </cell>
          <cell r="C716">
            <v>21990</v>
          </cell>
          <cell r="D716">
            <v>2390</v>
          </cell>
          <cell r="E716">
            <v>24380</v>
          </cell>
          <cell r="F716">
            <v>9.8000000000000007</v>
          </cell>
          <cell r="G716">
            <v>25010</v>
          </cell>
          <cell r="H716">
            <v>22500</v>
          </cell>
          <cell r="I716">
            <v>2510</v>
          </cell>
          <cell r="J716">
            <v>10.031706132708731</v>
          </cell>
        </row>
        <row r="717">
          <cell r="B717" t="str">
            <v>CT5302308</v>
          </cell>
          <cell r="C717" t="str">
            <v/>
          </cell>
          <cell r="D717" t="str">
            <v/>
          </cell>
          <cell r="E717" t="e">
            <v>#VALUE!</v>
          </cell>
          <cell r="F717" t="str">
            <v/>
          </cell>
          <cell r="G717" t="str">
            <v/>
          </cell>
          <cell r="H717" t="str">
            <v/>
          </cell>
          <cell r="I717" t="str">
            <v/>
          </cell>
          <cell r="J717" t="str">
            <v/>
          </cell>
        </row>
        <row r="718">
          <cell r="B718" t="str">
            <v>CT5302309</v>
          </cell>
          <cell r="C718" t="str">
            <v/>
          </cell>
          <cell r="D718" t="str">
            <v/>
          </cell>
          <cell r="E718" t="e">
            <v>#VALUE!</v>
          </cell>
          <cell r="F718" t="str">
            <v/>
          </cell>
          <cell r="G718" t="str">
            <v/>
          </cell>
          <cell r="H718" t="str">
            <v/>
          </cell>
          <cell r="I718" t="str">
            <v/>
          </cell>
          <cell r="J718" t="str">
            <v/>
          </cell>
        </row>
        <row r="719">
          <cell r="B719" t="str">
            <v>CT53023010</v>
          </cell>
          <cell r="C719" t="str">
            <v/>
          </cell>
          <cell r="D719" t="str">
            <v/>
          </cell>
          <cell r="E719" t="e">
            <v>#VALUE!</v>
          </cell>
          <cell r="F719" t="str">
            <v/>
          </cell>
          <cell r="G719" t="str">
            <v/>
          </cell>
          <cell r="H719" t="str">
            <v/>
          </cell>
          <cell r="I719" t="str">
            <v/>
          </cell>
          <cell r="J719" t="str">
            <v/>
          </cell>
        </row>
        <row r="720">
          <cell r="B720" t="str">
            <v>CT53023011</v>
          </cell>
          <cell r="C720" t="str">
            <v/>
          </cell>
          <cell r="D720" t="str">
            <v/>
          </cell>
          <cell r="E720" t="e">
            <v>#VALUE!</v>
          </cell>
          <cell r="F720" t="str">
            <v/>
          </cell>
          <cell r="G720" t="str">
            <v/>
          </cell>
          <cell r="H720" t="str">
            <v/>
          </cell>
          <cell r="I720" t="str">
            <v/>
          </cell>
          <cell r="J720" t="str">
            <v/>
          </cell>
        </row>
        <row r="721">
          <cell r="B721" t="str">
            <v>CT53023012</v>
          </cell>
          <cell r="C721" t="str">
            <v/>
          </cell>
          <cell r="D721" t="str">
            <v/>
          </cell>
          <cell r="E721" t="e">
            <v>#VALUE!</v>
          </cell>
          <cell r="F721" t="str">
            <v/>
          </cell>
          <cell r="G721" t="str">
            <v/>
          </cell>
          <cell r="H721" t="str">
            <v/>
          </cell>
          <cell r="I721" t="str">
            <v/>
          </cell>
          <cell r="J721" t="str">
            <v/>
          </cell>
        </row>
        <row r="722">
          <cell r="B722" t="str">
            <v>CT5302201</v>
          </cell>
          <cell r="C722">
            <v>18310</v>
          </cell>
          <cell r="D722">
            <v>1660</v>
          </cell>
          <cell r="E722">
            <v>19970</v>
          </cell>
          <cell r="F722">
            <v>8.3000000000000007</v>
          </cell>
          <cell r="G722">
            <v>19970</v>
          </cell>
          <cell r="H722">
            <v>18310</v>
          </cell>
          <cell r="I722">
            <v>1660</v>
          </cell>
          <cell r="J722">
            <v>8.3000000000000007</v>
          </cell>
        </row>
        <row r="723">
          <cell r="B723" t="str">
            <v>CT5302202</v>
          </cell>
          <cell r="C723">
            <v>18330</v>
          </cell>
          <cell r="D723">
            <v>1660</v>
          </cell>
          <cell r="E723">
            <v>19990</v>
          </cell>
          <cell r="F723">
            <v>8.3000000000000007</v>
          </cell>
          <cell r="G723">
            <v>19980</v>
          </cell>
          <cell r="H723">
            <v>18320</v>
          </cell>
          <cell r="I723">
            <v>1660</v>
          </cell>
          <cell r="J723">
            <v>8.2903629536921155</v>
          </cell>
        </row>
        <row r="724">
          <cell r="B724" t="str">
            <v>CT5302203</v>
          </cell>
          <cell r="C724">
            <v>18530</v>
          </cell>
          <cell r="D724">
            <v>1670</v>
          </cell>
          <cell r="E724">
            <v>20200</v>
          </cell>
          <cell r="F724">
            <v>8.3000000000000007</v>
          </cell>
          <cell r="G724">
            <v>20050</v>
          </cell>
          <cell r="H724">
            <v>18390</v>
          </cell>
          <cell r="I724">
            <v>1660</v>
          </cell>
          <cell r="J724">
            <v>8.2829021746358986</v>
          </cell>
        </row>
        <row r="725">
          <cell r="B725" t="str">
            <v>CT5302204</v>
          </cell>
          <cell r="C725">
            <v>18530</v>
          </cell>
          <cell r="D725">
            <v>1520</v>
          </cell>
          <cell r="E725">
            <v>20050</v>
          </cell>
          <cell r="F725">
            <v>7.6</v>
          </cell>
          <cell r="G725">
            <v>20050</v>
          </cell>
          <cell r="H725">
            <v>18420</v>
          </cell>
          <cell r="I725">
            <v>1630</v>
          </cell>
          <cell r="J725">
            <v>8.1074341006010133</v>
          </cell>
        </row>
        <row r="726">
          <cell r="B726" t="str">
            <v>CT5302205</v>
          </cell>
          <cell r="C726">
            <v>18510</v>
          </cell>
          <cell r="D726">
            <v>1540</v>
          </cell>
          <cell r="E726">
            <v>20050</v>
          </cell>
          <cell r="F726">
            <v>7.7</v>
          </cell>
          <cell r="G726">
            <v>20050</v>
          </cell>
          <cell r="H726">
            <v>18440</v>
          </cell>
          <cell r="I726">
            <v>1610</v>
          </cell>
          <cell r="J726">
            <v>8.0171975221203624</v>
          </cell>
        </row>
        <row r="727">
          <cell r="B727" t="str">
            <v>CT5302206</v>
          </cell>
          <cell r="C727">
            <v>18060</v>
          </cell>
          <cell r="D727">
            <v>1610</v>
          </cell>
          <cell r="E727">
            <v>19670</v>
          </cell>
          <cell r="F727">
            <v>8.1999999999999993</v>
          </cell>
          <cell r="G727">
            <v>19990</v>
          </cell>
          <cell r="H727">
            <v>18380</v>
          </cell>
          <cell r="I727">
            <v>1610</v>
          </cell>
          <cell r="J727">
            <v>8.0454306656993477</v>
          </cell>
        </row>
        <row r="728">
          <cell r="B728" t="str">
            <v>CT5302207</v>
          </cell>
          <cell r="C728">
            <v>17850</v>
          </cell>
          <cell r="D728">
            <v>1570</v>
          </cell>
          <cell r="E728">
            <v>19420</v>
          </cell>
          <cell r="F728">
            <v>8.1</v>
          </cell>
          <cell r="G728">
            <v>19910</v>
          </cell>
          <cell r="H728">
            <v>18300</v>
          </cell>
          <cell r="I728">
            <v>1600</v>
          </cell>
          <cell r="J728">
            <v>8.0528483874208785</v>
          </cell>
        </row>
        <row r="729">
          <cell r="B729" t="str">
            <v>CT5302208</v>
          </cell>
          <cell r="C729" t="str">
            <v/>
          </cell>
          <cell r="D729" t="str">
            <v/>
          </cell>
          <cell r="E729" t="e">
            <v>#VALUE!</v>
          </cell>
          <cell r="F729" t="str">
            <v/>
          </cell>
          <cell r="G729" t="str">
            <v/>
          </cell>
          <cell r="H729" t="str">
            <v/>
          </cell>
          <cell r="I729" t="str">
            <v/>
          </cell>
          <cell r="J729" t="str">
            <v/>
          </cell>
        </row>
        <row r="730">
          <cell r="B730" t="str">
            <v>CT5302209</v>
          </cell>
          <cell r="C730" t="str">
            <v/>
          </cell>
          <cell r="D730" t="str">
            <v/>
          </cell>
          <cell r="E730" t="e">
            <v>#VALUE!</v>
          </cell>
          <cell r="F730" t="str">
            <v/>
          </cell>
          <cell r="G730" t="str">
            <v/>
          </cell>
          <cell r="H730" t="str">
            <v/>
          </cell>
          <cell r="I730" t="str">
            <v/>
          </cell>
          <cell r="J730" t="str">
            <v/>
          </cell>
        </row>
        <row r="731">
          <cell r="B731" t="str">
            <v>CT53022010</v>
          </cell>
          <cell r="C731" t="str">
            <v/>
          </cell>
          <cell r="D731" t="str">
            <v/>
          </cell>
          <cell r="E731" t="e">
            <v>#VALUE!</v>
          </cell>
          <cell r="F731" t="str">
            <v/>
          </cell>
          <cell r="G731" t="str">
            <v/>
          </cell>
          <cell r="H731" t="str">
            <v/>
          </cell>
          <cell r="I731" t="str">
            <v/>
          </cell>
          <cell r="J731" t="str">
            <v/>
          </cell>
        </row>
        <row r="732">
          <cell r="B732" t="str">
            <v>CT53022011</v>
          </cell>
          <cell r="C732" t="str">
            <v/>
          </cell>
          <cell r="D732" t="str">
            <v/>
          </cell>
          <cell r="E732" t="e">
            <v>#VALUE!</v>
          </cell>
          <cell r="F732" t="str">
            <v/>
          </cell>
          <cell r="G732" t="str">
            <v/>
          </cell>
          <cell r="H732" t="str">
            <v/>
          </cell>
          <cell r="I732" t="str">
            <v/>
          </cell>
          <cell r="J732" t="str">
            <v/>
          </cell>
        </row>
        <row r="733">
          <cell r="B733" t="str">
            <v>CT53022012</v>
          </cell>
          <cell r="C733" t="str">
            <v/>
          </cell>
          <cell r="D733" t="str">
            <v/>
          </cell>
          <cell r="E733" t="e">
            <v>#VALUE!</v>
          </cell>
          <cell r="F733" t="str">
            <v/>
          </cell>
          <cell r="G733" t="str">
            <v/>
          </cell>
          <cell r="H733" t="str">
            <v/>
          </cell>
          <cell r="I733" t="str">
            <v/>
          </cell>
          <cell r="J733" t="str">
            <v/>
          </cell>
        </row>
        <row r="734">
          <cell r="B734" t="str">
            <v>CT5302001</v>
          </cell>
          <cell r="C734">
            <v>20390</v>
          </cell>
          <cell r="D734">
            <v>1950</v>
          </cell>
          <cell r="E734">
            <v>22340</v>
          </cell>
          <cell r="F734">
            <v>8.6999999999999993</v>
          </cell>
          <cell r="G734">
            <v>22350</v>
          </cell>
          <cell r="H734">
            <v>20390</v>
          </cell>
          <cell r="I734">
            <v>1950</v>
          </cell>
          <cell r="J734">
            <v>8.6999999999999993</v>
          </cell>
        </row>
        <row r="735">
          <cell r="B735" t="str">
            <v>CT5302002</v>
          </cell>
          <cell r="C735">
            <v>20510</v>
          </cell>
          <cell r="D735">
            <v>2030</v>
          </cell>
          <cell r="E735">
            <v>22540</v>
          </cell>
          <cell r="F735">
            <v>9</v>
          </cell>
          <cell r="G735">
            <v>22440</v>
          </cell>
          <cell r="H735">
            <v>20450</v>
          </cell>
          <cell r="I735">
            <v>1990</v>
          </cell>
          <cell r="J735">
            <v>8.8717583103110247</v>
          </cell>
        </row>
        <row r="736">
          <cell r="B736" t="str">
            <v>CT5302003</v>
          </cell>
          <cell r="C736">
            <v>20430</v>
          </cell>
          <cell r="D736">
            <v>2060</v>
          </cell>
          <cell r="E736">
            <v>22490</v>
          </cell>
          <cell r="F736">
            <v>9.1999999999999993</v>
          </cell>
          <cell r="G736">
            <v>22460</v>
          </cell>
          <cell r="H736">
            <v>20450</v>
          </cell>
          <cell r="I736">
            <v>2010</v>
          </cell>
          <cell r="J736">
            <v>8.9661006886725243</v>
          </cell>
        </row>
        <row r="737">
          <cell r="B737" t="str">
            <v>CT5302004</v>
          </cell>
          <cell r="C737">
            <v>20230</v>
          </cell>
          <cell r="D737">
            <v>1830</v>
          </cell>
          <cell r="E737">
            <v>22060</v>
          </cell>
          <cell r="F737">
            <v>8.3000000000000007</v>
          </cell>
          <cell r="G737">
            <v>22360</v>
          </cell>
          <cell r="H737">
            <v>20390</v>
          </cell>
          <cell r="I737">
            <v>1970</v>
          </cell>
          <cell r="J737">
            <v>8.7987655563382638</v>
          </cell>
        </row>
        <row r="738">
          <cell r="B738" t="str">
            <v>CT5302005</v>
          </cell>
          <cell r="C738">
            <v>20350</v>
          </cell>
          <cell r="D738">
            <v>1760</v>
          </cell>
          <cell r="E738">
            <v>22110</v>
          </cell>
          <cell r="F738">
            <v>8</v>
          </cell>
          <cell r="G738">
            <v>22310</v>
          </cell>
          <cell r="H738">
            <v>20380</v>
          </cell>
          <cell r="I738">
            <v>1930</v>
          </cell>
          <cell r="J738">
            <v>8.6352348421684919</v>
          </cell>
        </row>
        <row r="739">
          <cell r="B739" t="str">
            <v>CT5302006</v>
          </cell>
          <cell r="C739">
            <v>20330</v>
          </cell>
          <cell r="D739">
            <v>2010</v>
          </cell>
          <cell r="E739">
            <v>22340</v>
          </cell>
          <cell r="F739">
            <v>9</v>
          </cell>
          <cell r="G739">
            <v>22310</v>
          </cell>
          <cell r="H739">
            <v>20370</v>
          </cell>
          <cell r="I739">
            <v>1940</v>
          </cell>
          <cell r="J739">
            <v>8.6949052530941202</v>
          </cell>
        </row>
        <row r="740">
          <cell r="B740" t="str">
            <v>CT5302007</v>
          </cell>
          <cell r="C740">
            <v>20320</v>
          </cell>
          <cell r="D740">
            <v>1890</v>
          </cell>
          <cell r="E740">
            <v>22210</v>
          </cell>
          <cell r="F740">
            <v>8.5</v>
          </cell>
          <cell r="G740">
            <v>22300</v>
          </cell>
          <cell r="H740">
            <v>20370</v>
          </cell>
          <cell r="I740">
            <v>1930</v>
          </cell>
          <cell r="J740">
            <v>8.6670724284844809</v>
          </cell>
        </row>
        <row r="741">
          <cell r="B741" t="str">
            <v>CT5302008</v>
          </cell>
          <cell r="C741" t="str">
            <v/>
          </cell>
          <cell r="D741" t="str">
            <v/>
          </cell>
          <cell r="E741" t="e">
            <v>#VALUE!</v>
          </cell>
          <cell r="F741" t="str">
            <v/>
          </cell>
          <cell r="G741" t="str">
            <v/>
          </cell>
          <cell r="H741" t="str">
            <v/>
          </cell>
          <cell r="I741" t="str">
            <v/>
          </cell>
          <cell r="J741" t="str">
            <v/>
          </cell>
        </row>
        <row r="742">
          <cell r="B742" t="str">
            <v>CT5302009</v>
          </cell>
          <cell r="C742" t="str">
            <v/>
          </cell>
          <cell r="D742" t="str">
            <v/>
          </cell>
          <cell r="E742" t="e">
            <v>#VALUE!</v>
          </cell>
          <cell r="F742" t="str">
            <v/>
          </cell>
          <cell r="G742" t="str">
            <v/>
          </cell>
          <cell r="H742" t="str">
            <v/>
          </cell>
          <cell r="I742" t="str">
            <v/>
          </cell>
          <cell r="J742" t="str">
            <v/>
          </cell>
        </row>
        <row r="743">
          <cell r="B743" t="str">
            <v>CT53020010</v>
          </cell>
          <cell r="C743" t="str">
            <v/>
          </cell>
          <cell r="D743" t="str">
            <v/>
          </cell>
          <cell r="E743" t="e">
            <v>#VALUE!</v>
          </cell>
          <cell r="F743" t="str">
            <v/>
          </cell>
          <cell r="G743" t="str">
            <v/>
          </cell>
          <cell r="H743" t="str">
            <v/>
          </cell>
          <cell r="I743" t="str">
            <v/>
          </cell>
          <cell r="J743" t="str">
            <v/>
          </cell>
        </row>
        <row r="744">
          <cell r="B744" t="str">
            <v>CT53020011</v>
          </cell>
          <cell r="C744" t="str">
            <v/>
          </cell>
          <cell r="D744" t="str">
            <v/>
          </cell>
          <cell r="E744" t="e">
            <v>#VALUE!</v>
          </cell>
          <cell r="F744" t="str">
            <v/>
          </cell>
          <cell r="G744" t="str">
            <v/>
          </cell>
          <cell r="H744" t="str">
            <v/>
          </cell>
          <cell r="I744" t="str">
            <v/>
          </cell>
          <cell r="J744" t="str">
            <v/>
          </cell>
        </row>
        <row r="745">
          <cell r="B745" t="str">
            <v>CT53020012</v>
          </cell>
          <cell r="C745" t="str">
            <v/>
          </cell>
          <cell r="D745" t="str">
            <v/>
          </cell>
          <cell r="E745" t="e">
            <v>#VALUE!</v>
          </cell>
          <cell r="F745" t="str">
            <v/>
          </cell>
          <cell r="G745" t="str">
            <v/>
          </cell>
          <cell r="H745" t="str">
            <v/>
          </cell>
          <cell r="I745" t="str">
            <v/>
          </cell>
          <cell r="J745" t="str">
            <v/>
          </cell>
        </row>
        <row r="746">
          <cell r="B746" t="str">
            <v>CT5301701</v>
          </cell>
          <cell r="C746">
            <v>15670</v>
          </cell>
          <cell r="D746">
            <v>1600</v>
          </cell>
          <cell r="E746">
            <v>17270</v>
          </cell>
          <cell r="F746">
            <v>9.3000000000000007</v>
          </cell>
          <cell r="G746">
            <v>17270</v>
          </cell>
          <cell r="H746">
            <v>15670</v>
          </cell>
          <cell r="I746">
            <v>1600</v>
          </cell>
          <cell r="J746">
            <v>9.3000000000000007</v>
          </cell>
        </row>
        <row r="747">
          <cell r="B747" t="str">
            <v>CT5301702</v>
          </cell>
          <cell r="C747">
            <v>15760</v>
          </cell>
          <cell r="D747">
            <v>1650</v>
          </cell>
          <cell r="E747">
            <v>17410</v>
          </cell>
          <cell r="F747">
            <v>9.5</v>
          </cell>
          <cell r="G747">
            <v>17340</v>
          </cell>
          <cell r="H747">
            <v>15710</v>
          </cell>
          <cell r="I747">
            <v>1620</v>
          </cell>
          <cell r="J747">
            <v>9.3596769541390241</v>
          </cell>
        </row>
        <row r="748">
          <cell r="B748" t="str">
            <v>CT5301703</v>
          </cell>
          <cell r="C748">
            <v>15700</v>
          </cell>
          <cell r="D748">
            <v>1710</v>
          </cell>
          <cell r="E748">
            <v>17410</v>
          </cell>
          <cell r="F748">
            <v>9.8000000000000007</v>
          </cell>
          <cell r="G748">
            <v>17360</v>
          </cell>
          <cell r="H748">
            <v>15710</v>
          </cell>
          <cell r="I748">
            <v>1650</v>
          </cell>
          <cell r="J748">
            <v>9.5161290322580641</v>
          </cell>
        </row>
        <row r="749">
          <cell r="B749" t="str">
            <v>CT5301704</v>
          </cell>
          <cell r="C749">
            <v>15540</v>
          </cell>
          <cell r="D749">
            <v>1510</v>
          </cell>
          <cell r="E749">
            <v>17050</v>
          </cell>
          <cell r="F749">
            <v>8.8000000000000007</v>
          </cell>
          <cell r="G749">
            <v>17280</v>
          </cell>
          <cell r="H749">
            <v>15670</v>
          </cell>
          <cell r="I749">
            <v>1620</v>
          </cell>
          <cell r="J749">
            <v>9.3478764031940749</v>
          </cell>
        </row>
        <row r="750">
          <cell r="B750" t="str">
            <v>CT5301705</v>
          </cell>
          <cell r="C750">
            <v>15630</v>
          </cell>
          <cell r="D750">
            <v>1540</v>
          </cell>
          <cell r="E750">
            <v>17170</v>
          </cell>
          <cell r="F750">
            <v>8.9</v>
          </cell>
          <cell r="G750">
            <v>17260</v>
          </cell>
          <cell r="H750">
            <v>15660</v>
          </cell>
          <cell r="I750">
            <v>1600</v>
          </cell>
          <cell r="J750">
            <v>9.2669416890701761</v>
          </cell>
        </row>
        <row r="751">
          <cell r="B751" t="str">
            <v>CT5301706</v>
          </cell>
          <cell r="C751">
            <v>15620</v>
          </cell>
          <cell r="D751">
            <v>1700</v>
          </cell>
          <cell r="E751">
            <v>17320</v>
          </cell>
          <cell r="F751">
            <v>9.8000000000000007</v>
          </cell>
          <cell r="G751">
            <v>17270</v>
          </cell>
          <cell r="H751">
            <v>15650</v>
          </cell>
          <cell r="I751">
            <v>1620</v>
          </cell>
          <cell r="J751">
            <v>9.3602524633513173</v>
          </cell>
        </row>
        <row r="752">
          <cell r="B752" t="str">
            <v>CT5301707</v>
          </cell>
          <cell r="C752">
            <v>15610</v>
          </cell>
          <cell r="D752">
            <v>1720</v>
          </cell>
          <cell r="E752">
            <v>17330</v>
          </cell>
          <cell r="F752">
            <v>9.9</v>
          </cell>
          <cell r="G752">
            <v>17280</v>
          </cell>
          <cell r="H752">
            <v>15650</v>
          </cell>
          <cell r="I752">
            <v>1630</v>
          </cell>
          <cell r="J752">
            <v>9.4375036174065485</v>
          </cell>
        </row>
        <row r="753">
          <cell r="B753" t="str">
            <v>CT5301708</v>
          </cell>
          <cell r="C753" t="str">
            <v/>
          </cell>
          <cell r="D753" t="str">
            <v/>
          </cell>
          <cell r="E753" t="e">
            <v>#VALUE!</v>
          </cell>
          <cell r="F753" t="str">
            <v/>
          </cell>
          <cell r="G753" t="str">
            <v/>
          </cell>
          <cell r="H753" t="str">
            <v/>
          </cell>
          <cell r="I753" t="str">
            <v/>
          </cell>
          <cell r="J753" t="str">
            <v/>
          </cell>
        </row>
        <row r="754">
          <cell r="B754" t="str">
            <v>CT5301709</v>
          </cell>
          <cell r="C754" t="str">
            <v/>
          </cell>
          <cell r="D754" t="str">
            <v/>
          </cell>
          <cell r="E754" t="e">
            <v>#VALUE!</v>
          </cell>
          <cell r="F754" t="str">
            <v/>
          </cell>
          <cell r="G754" t="str">
            <v/>
          </cell>
          <cell r="H754" t="str">
            <v/>
          </cell>
          <cell r="I754" t="str">
            <v/>
          </cell>
          <cell r="J754" t="str">
            <v/>
          </cell>
        </row>
        <row r="755">
          <cell r="B755" t="str">
            <v>CT53017010</v>
          </cell>
          <cell r="C755" t="str">
            <v/>
          </cell>
          <cell r="D755" t="str">
            <v/>
          </cell>
          <cell r="E755" t="e">
            <v>#VALUE!</v>
          </cell>
          <cell r="F755" t="str">
            <v/>
          </cell>
          <cell r="G755" t="str">
            <v/>
          </cell>
          <cell r="H755" t="str">
            <v/>
          </cell>
          <cell r="I755" t="str">
            <v/>
          </cell>
          <cell r="J755" t="str">
            <v/>
          </cell>
        </row>
        <row r="756">
          <cell r="B756" t="str">
            <v>CT53017011</v>
          </cell>
          <cell r="C756" t="str">
            <v/>
          </cell>
          <cell r="D756" t="str">
            <v/>
          </cell>
          <cell r="E756" t="e">
            <v>#VALUE!</v>
          </cell>
          <cell r="F756" t="str">
            <v/>
          </cell>
          <cell r="G756" t="str">
            <v/>
          </cell>
          <cell r="H756" t="str">
            <v/>
          </cell>
          <cell r="I756" t="str">
            <v/>
          </cell>
          <cell r="J756" t="str">
            <v/>
          </cell>
        </row>
        <row r="757">
          <cell r="B757" t="str">
            <v>CT53017012</v>
          </cell>
          <cell r="C757" t="str">
            <v/>
          </cell>
          <cell r="D757" t="str">
            <v/>
          </cell>
          <cell r="E757" t="e">
            <v>#VALUE!</v>
          </cell>
          <cell r="F757" t="str">
            <v/>
          </cell>
          <cell r="G757" t="str">
            <v/>
          </cell>
          <cell r="H757" t="str">
            <v/>
          </cell>
          <cell r="I757" t="str">
            <v/>
          </cell>
          <cell r="J757" t="str">
            <v/>
          </cell>
        </row>
        <row r="758">
          <cell r="B758" t="str">
            <v>CT5301601</v>
          </cell>
          <cell r="C758">
            <v>13890</v>
          </cell>
          <cell r="D758">
            <v>1620</v>
          </cell>
          <cell r="E758">
            <v>15510</v>
          </cell>
          <cell r="F758">
            <v>10.5</v>
          </cell>
          <cell r="G758">
            <v>15510</v>
          </cell>
          <cell r="H758">
            <v>13890</v>
          </cell>
          <cell r="I758">
            <v>1620</v>
          </cell>
          <cell r="J758">
            <v>10.5</v>
          </cell>
        </row>
        <row r="759">
          <cell r="B759" t="str">
            <v>CT5301602</v>
          </cell>
          <cell r="C759">
            <v>13970</v>
          </cell>
          <cell r="D759">
            <v>1650</v>
          </cell>
          <cell r="E759">
            <v>15620</v>
          </cell>
          <cell r="F759">
            <v>10.6</v>
          </cell>
          <cell r="G759">
            <v>15560</v>
          </cell>
          <cell r="H759">
            <v>13930</v>
          </cell>
          <cell r="I759">
            <v>1640</v>
          </cell>
          <cell r="J759">
            <v>10.51566265060241</v>
          </cell>
        </row>
        <row r="760">
          <cell r="B760" t="str">
            <v>CT5301603</v>
          </cell>
          <cell r="C760">
            <v>13910</v>
          </cell>
          <cell r="D760">
            <v>1620</v>
          </cell>
          <cell r="E760">
            <v>15530</v>
          </cell>
          <cell r="F760">
            <v>10.4</v>
          </cell>
          <cell r="G760">
            <v>15550</v>
          </cell>
          <cell r="H760">
            <v>13920</v>
          </cell>
          <cell r="I760">
            <v>1630</v>
          </cell>
          <cell r="J760">
            <v>10.485029041730073</v>
          </cell>
        </row>
        <row r="761">
          <cell r="B761" t="str">
            <v>CT5301604</v>
          </cell>
          <cell r="C761">
            <v>13780</v>
          </cell>
          <cell r="D761">
            <v>1460</v>
          </cell>
          <cell r="E761">
            <v>15240</v>
          </cell>
          <cell r="F761">
            <v>9.6</v>
          </cell>
          <cell r="G761">
            <v>15470</v>
          </cell>
          <cell r="H761">
            <v>13890</v>
          </cell>
          <cell r="I761">
            <v>1590</v>
          </cell>
          <cell r="J761">
            <v>10.257238883143744</v>
          </cell>
        </row>
        <row r="762">
          <cell r="B762" t="str">
            <v>CT5301605</v>
          </cell>
          <cell r="C762">
            <v>13860</v>
          </cell>
          <cell r="D762">
            <v>1420</v>
          </cell>
          <cell r="E762">
            <v>15280</v>
          </cell>
          <cell r="F762">
            <v>9.3000000000000007</v>
          </cell>
          <cell r="G762">
            <v>15430</v>
          </cell>
          <cell r="H762">
            <v>13880</v>
          </cell>
          <cell r="I762">
            <v>1550</v>
          </cell>
          <cell r="J762">
            <v>10.069331951014062</v>
          </cell>
        </row>
        <row r="763">
          <cell r="B763" t="str">
            <v>CT5301606</v>
          </cell>
          <cell r="C763">
            <v>13840</v>
          </cell>
          <cell r="D763">
            <v>1670</v>
          </cell>
          <cell r="E763">
            <v>15510</v>
          </cell>
          <cell r="F763">
            <v>10.8</v>
          </cell>
          <cell r="G763">
            <v>15450</v>
          </cell>
          <cell r="H763">
            <v>13870</v>
          </cell>
          <cell r="I763">
            <v>1570</v>
          </cell>
          <cell r="J763">
            <v>10.18763284815658</v>
          </cell>
        </row>
        <row r="764">
          <cell r="B764" t="str">
            <v>CT5301607</v>
          </cell>
          <cell r="C764">
            <v>13830</v>
          </cell>
          <cell r="D764">
            <v>1610</v>
          </cell>
          <cell r="E764">
            <v>15440</v>
          </cell>
          <cell r="F764">
            <v>10.4</v>
          </cell>
          <cell r="G764">
            <v>15450</v>
          </cell>
          <cell r="H764">
            <v>13870</v>
          </cell>
          <cell r="I764">
            <v>1580</v>
          </cell>
          <cell r="J764">
            <v>10.220672561133515</v>
          </cell>
        </row>
        <row r="765">
          <cell r="B765" t="str">
            <v>CT5301608</v>
          </cell>
          <cell r="C765" t="str">
            <v/>
          </cell>
          <cell r="D765" t="str">
            <v/>
          </cell>
          <cell r="E765" t="e">
            <v>#VALUE!</v>
          </cell>
          <cell r="F765" t="str">
            <v/>
          </cell>
          <cell r="G765" t="str">
            <v/>
          </cell>
          <cell r="H765" t="str">
            <v/>
          </cell>
          <cell r="I765" t="str">
            <v/>
          </cell>
          <cell r="J765" t="str">
            <v/>
          </cell>
        </row>
        <row r="766">
          <cell r="B766" t="str">
            <v>CT5301609</v>
          </cell>
          <cell r="C766" t="str">
            <v/>
          </cell>
          <cell r="D766" t="str">
            <v/>
          </cell>
          <cell r="E766" t="e">
            <v>#VALUE!</v>
          </cell>
          <cell r="F766" t="str">
            <v/>
          </cell>
          <cell r="G766" t="str">
            <v/>
          </cell>
          <cell r="H766" t="str">
            <v/>
          </cell>
          <cell r="I766" t="str">
            <v/>
          </cell>
          <cell r="J766" t="str">
            <v/>
          </cell>
        </row>
        <row r="767">
          <cell r="B767" t="str">
            <v>CT53016010</v>
          </cell>
          <cell r="C767" t="str">
            <v/>
          </cell>
          <cell r="D767" t="str">
            <v/>
          </cell>
          <cell r="E767" t="e">
            <v>#VALUE!</v>
          </cell>
          <cell r="F767" t="str">
            <v/>
          </cell>
          <cell r="G767" t="str">
            <v/>
          </cell>
          <cell r="H767" t="str">
            <v/>
          </cell>
          <cell r="I767" t="str">
            <v/>
          </cell>
          <cell r="J767" t="str">
            <v/>
          </cell>
        </row>
        <row r="768">
          <cell r="B768" t="str">
            <v>CT53016011</v>
          </cell>
          <cell r="C768" t="str">
            <v/>
          </cell>
          <cell r="D768" t="str">
            <v/>
          </cell>
          <cell r="E768" t="e">
            <v>#VALUE!</v>
          </cell>
          <cell r="F768" t="str">
            <v/>
          </cell>
          <cell r="G768" t="str">
            <v/>
          </cell>
          <cell r="H768" t="str">
            <v/>
          </cell>
          <cell r="I768" t="str">
            <v/>
          </cell>
          <cell r="J768" t="str">
            <v/>
          </cell>
        </row>
        <row r="769">
          <cell r="B769" t="str">
            <v>CT53016012</v>
          </cell>
          <cell r="C769" t="str">
            <v/>
          </cell>
          <cell r="D769" t="str">
            <v/>
          </cell>
          <cell r="E769" t="e">
            <v>#VALUE!</v>
          </cell>
          <cell r="F769" t="str">
            <v/>
          </cell>
          <cell r="G769" t="str">
            <v/>
          </cell>
          <cell r="H769" t="str">
            <v/>
          </cell>
          <cell r="I769" t="str">
            <v/>
          </cell>
          <cell r="J769" t="str">
            <v/>
          </cell>
        </row>
        <row r="770">
          <cell r="B770" t="str">
            <v>CT5301501</v>
          </cell>
          <cell r="C770">
            <v>14260</v>
          </cell>
          <cell r="D770">
            <v>1490</v>
          </cell>
          <cell r="E770">
            <v>15750</v>
          </cell>
          <cell r="F770">
            <v>9.5</v>
          </cell>
          <cell r="G770">
            <v>15750</v>
          </cell>
          <cell r="H770">
            <v>14260</v>
          </cell>
          <cell r="I770">
            <v>1490</v>
          </cell>
          <cell r="J770">
            <v>9.5</v>
          </cell>
        </row>
        <row r="771">
          <cell r="B771" t="str">
            <v>CT5301502</v>
          </cell>
          <cell r="C771">
            <v>14170</v>
          </cell>
          <cell r="D771">
            <v>1460</v>
          </cell>
          <cell r="E771">
            <v>15630</v>
          </cell>
          <cell r="F771">
            <v>9.3000000000000007</v>
          </cell>
          <cell r="G771">
            <v>15690</v>
          </cell>
          <cell r="H771">
            <v>14210</v>
          </cell>
          <cell r="I771">
            <v>1480</v>
          </cell>
          <cell r="J771">
            <v>9.407265774378585</v>
          </cell>
        </row>
        <row r="772">
          <cell r="B772" t="str">
            <v>CT5301503</v>
          </cell>
          <cell r="C772">
            <v>14150</v>
          </cell>
          <cell r="D772">
            <v>1500</v>
          </cell>
          <cell r="E772">
            <v>15650</v>
          </cell>
          <cell r="F772">
            <v>9.6</v>
          </cell>
          <cell r="G772">
            <v>15680</v>
          </cell>
          <cell r="H772">
            <v>14190</v>
          </cell>
          <cell r="I772">
            <v>1480</v>
          </cell>
          <cell r="J772">
            <v>9.4601203512726197</v>
          </cell>
        </row>
        <row r="773">
          <cell r="B773" t="str">
            <v>CT5301504</v>
          </cell>
          <cell r="C773">
            <v>14110</v>
          </cell>
          <cell r="D773">
            <v>1390</v>
          </cell>
          <cell r="E773">
            <v>15500</v>
          </cell>
          <cell r="F773">
            <v>9</v>
          </cell>
          <cell r="G773">
            <v>15630</v>
          </cell>
          <cell r="H773">
            <v>14170</v>
          </cell>
          <cell r="I773">
            <v>1460</v>
          </cell>
          <cell r="J773">
            <v>9.338515177686082</v>
          </cell>
        </row>
        <row r="774">
          <cell r="B774" t="str">
            <v>CT5301505</v>
          </cell>
          <cell r="C774">
            <v>14110</v>
          </cell>
          <cell r="D774">
            <v>1470</v>
          </cell>
          <cell r="E774">
            <v>15580</v>
          </cell>
          <cell r="F774">
            <v>9.5</v>
          </cell>
          <cell r="G774">
            <v>15620</v>
          </cell>
          <cell r="H774">
            <v>14160</v>
          </cell>
          <cell r="I774">
            <v>1460</v>
          </cell>
          <cell r="J774">
            <v>9.3630369374559894</v>
          </cell>
        </row>
        <row r="775">
          <cell r="B775" t="str">
            <v>CT5301506</v>
          </cell>
          <cell r="C775">
            <v>13810</v>
          </cell>
          <cell r="D775">
            <v>1470</v>
          </cell>
          <cell r="E775">
            <v>15280</v>
          </cell>
          <cell r="F775">
            <v>9.6</v>
          </cell>
          <cell r="G775">
            <v>15560</v>
          </cell>
          <cell r="H775">
            <v>14100</v>
          </cell>
          <cell r="I775">
            <v>1460</v>
          </cell>
          <cell r="J775">
            <v>9.4044827106156497</v>
          </cell>
        </row>
        <row r="776">
          <cell r="B776" t="str">
            <v>CT5301507</v>
          </cell>
          <cell r="C776">
            <v>13670</v>
          </cell>
          <cell r="D776">
            <v>1470</v>
          </cell>
          <cell r="E776">
            <v>15140</v>
          </cell>
          <cell r="F776">
            <v>9.6999999999999993</v>
          </cell>
          <cell r="G776">
            <v>15500</v>
          </cell>
          <cell r="H776">
            <v>14040</v>
          </cell>
          <cell r="I776">
            <v>1470</v>
          </cell>
          <cell r="J776">
            <v>9.4492614741032188</v>
          </cell>
        </row>
        <row r="777">
          <cell r="B777" t="str">
            <v>CT5301508</v>
          </cell>
          <cell r="C777" t="str">
            <v/>
          </cell>
          <cell r="D777" t="str">
            <v/>
          </cell>
          <cell r="E777" t="e">
            <v>#VALUE!</v>
          </cell>
          <cell r="F777" t="str">
            <v/>
          </cell>
          <cell r="G777" t="str">
            <v/>
          </cell>
          <cell r="H777" t="str">
            <v/>
          </cell>
          <cell r="I777" t="str">
            <v/>
          </cell>
          <cell r="J777" t="str">
            <v/>
          </cell>
        </row>
        <row r="778">
          <cell r="B778" t="str">
            <v>CT5301509</v>
          </cell>
          <cell r="C778" t="str">
            <v/>
          </cell>
          <cell r="D778" t="str">
            <v/>
          </cell>
          <cell r="E778" t="e">
            <v>#VALUE!</v>
          </cell>
          <cell r="F778" t="str">
            <v/>
          </cell>
          <cell r="G778" t="str">
            <v/>
          </cell>
          <cell r="H778" t="str">
            <v/>
          </cell>
          <cell r="I778" t="str">
            <v/>
          </cell>
          <cell r="J778" t="str">
            <v/>
          </cell>
        </row>
        <row r="779">
          <cell r="B779" t="str">
            <v>CT53015010</v>
          </cell>
          <cell r="C779" t="str">
            <v/>
          </cell>
          <cell r="D779" t="str">
            <v/>
          </cell>
          <cell r="E779" t="e">
            <v>#VALUE!</v>
          </cell>
          <cell r="F779" t="str">
            <v/>
          </cell>
          <cell r="G779" t="str">
            <v/>
          </cell>
          <cell r="H779" t="str">
            <v/>
          </cell>
          <cell r="I779" t="str">
            <v/>
          </cell>
          <cell r="J779" t="str">
            <v/>
          </cell>
        </row>
        <row r="780">
          <cell r="B780" t="str">
            <v>CT53015011</v>
          </cell>
          <cell r="C780" t="str">
            <v/>
          </cell>
          <cell r="D780" t="str">
            <v/>
          </cell>
          <cell r="E780" t="e">
            <v>#VALUE!</v>
          </cell>
          <cell r="F780" t="str">
            <v/>
          </cell>
          <cell r="G780" t="str">
            <v/>
          </cell>
          <cell r="H780" t="str">
            <v/>
          </cell>
          <cell r="I780" t="str">
            <v/>
          </cell>
          <cell r="J780" t="str">
            <v/>
          </cell>
        </row>
        <row r="781">
          <cell r="B781" t="str">
            <v>CT53015012</v>
          </cell>
          <cell r="C781" t="str">
            <v/>
          </cell>
          <cell r="D781" t="str">
            <v/>
          </cell>
          <cell r="E781" t="e">
            <v>#VALUE!</v>
          </cell>
          <cell r="F781" t="str">
            <v/>
          </cell>
          <cell r="G781" t="str">
            <v/>
          </cell>
          <cell r="H781" t="str">
            <v/>
          </cell>
          <cell r="I781" t="str">
            <v/>
          </cell>
          <cell r="J781" t="str">
            <v/>
          </cell>
        </row>
        <row r="782">
          <cell r="B782" t="str">
            <v>CT5301301</v>
          </cell>
          <cell r="C782">
            <v>17610</v>
          </cell>
          <cell r="D782">
            <v>1660</v>
          </cell>
          <cell r="E782">
            <v>19270</v>
          </cell>
          <cell r="F782">
            <v>8.6</v>
          </cell>
          <cell r="G782">
            <v>19270</v>
          </cell>
          <cell r="H782">
            <v>17610</v>
          </cell>
          <cell r="I782">
            <v>1660</v>
          </cell>
          <cell r="J782">
            <v>8.6</v>
          </cell>
        </row>
        <row r="783">
          <cell r="B783" t="str">
            <v>CT5301302</v>
          </cell>
          <cell r="C783">
            <v>17700</v>
          </cell>
          <cell r="D783">
            <v>1690</v>
          </cell>
          <cell r="E783">
            <v>19390</v>
          </cell>
          <cell r="F783">
            <v>8.6999999999999993</v>
          </cell>
          <cell r="G783">
            <v>19330</v>
          </cell>
          <cell r="H783">
            <v>17650</v>
          </cell>
          <cell r="I783">
            <v>1670</v>
          </cell>
          <cell r="J783">
            <v>8.6536969007088533</v>
          </cell>
        </row>
        <row r="784">
          <cell r="B784" t="str">
            <v>CT5301303</v>
          </cell>
          <cell r="C784">
            <v>17640</v>
          </cell>
          <cell r="D784">
            <v>1660</v>
          </cell>
          <cell r="E784">
            <v>19300</v>
          </cell>
          <cell r="F784">
            <v>8.6</v>
          </cell>
          <cell r="G784">
            <v>19320</v>
          </cell>
          <cell r="H784">
            <v>17650</v>
          </cell>
          <cell r="I784">
            <v>1670</v>
          </cell>
          <cell r="J784">
            <v>8.6331555969698552</v>
          </cell>
        </row>
        <row r="785">
          <cell r="B785" t="str">
            <v>CT5301304</v>
          </cell>
          <cell r="C785">
            <v>17460</v>
          </cell>
          <cell r="D785">
            <v>1460</v>
          </cell>
          <cell r="E785">
            <v>18920</v>
          </cell>
          <cell r="F785">
            <v>7.7</v>
          </cell>
          <cell r="G785">
            <v>19220</v>
          </cell>
          <cell r="H785">
            <v>17600</v>
          </cell>
          <cell r="I785">
            <v>1620</v>
          </cell>
          <cell r="J785">
            <v>8.4096467037827161</v>
          </cell>
        </row>
        <row r="786">
          <cell r="B786" t="str">
            <v>CT5301305</v>
          </cell>
          <cell r="C786">
            <v>17570</v>
          </cell>
          <cell r="D786">
            <v>1430</v>
          </cell>
          <cell r="E786">
            <v>19000</v>
          </cell>
          <cell r="F786">
            <v>7.5</v>
          </cell>
          <cell r="G786">
            <v>19180</v>
          </cell>
          <cell r="H786">
            <v>17600</v>
          </cell>
          <cell r="I786">
            <v>1580</v>
          </cell>
          <cell r="J786">
            <v>8.2388526727509781</v>
          </cell>
        </row>
        <row r="787">
          <cell r="B787" t="str">
            <v>CT5301306</v>
          </cell>
          <cell r="C787">
            <v>17550</v>
          </cell>
          <cell r="D787">
            <v>1630</v>
          </cell>
          <cell r="E787">
            <v>19180</v>
          </cell>
          <cell r="F787">
            <v>8.5</v>
          </cell>
          <cell r="G787">
            <v>19180</v>
          </cell>
          <cell r="H787">
            <v>17590</v>
          </cell>
          <cell r="I787">
            <v>1590</v>
          </cell>
          <cell r="J787">
            <v>8.2811848143512723</v>
          </cell>
        </row>
        <row r="788">
          <cell r="B788" t="str">
            <v>CT5301307</v>
          </cell>
          <cell r="C788">
            <v>17540</v>
          </cell>
          <cell r="D788">
            <v>1600</v>
          </cell>
          <cell r="E788">
            <v>19140</v>
          </cell>
          <cell r="F788">
            <v>8.3000000000000007</v>
          </cell>
          <cell r="G788">
            <v>19170</v>
          </cell>
          <cell r="H788">
            <v>17580</v>
          </cell>
          <cell r="I788">
            <v>1590</v>
          </cell>
          <cell r="J788">
            <v>8.2890549896042156</v>
          </cell>
        </row>
        <row r="789">
          <cell r="B789" t="str">
            <v>CT5301308</v>
          </cell>
          <cell r="C789" t="str">
            <v/>
          </cell>
          <cell r="D789" t="str">
            <v/>
          </cell>
          <cell r="E789" t="e">
            <v>#VALUE!</v>
          </cell>
          <cell r="F789" t="str">
            <v/>
          </cell>
          <cell r="G789" t="str">
            <v/>
          </cell>
          <cell r="H789" t="str">
            <v/>
          </cell>
          <cell r="I789" t="str">
            <v/>
          </cell>
          <cell r="J789" t="str">
            <v/>
          </cell>
        </row>
        <row r="790">
          <cell r="B790" t="str">
            <v>CT5301309</v>
          </cell>
          <cell r="C790" t="str">
            <v/>
          </cell>
          <cell r="D790" t="str">
            <v/>
          </cell>
          <cell r="E790" t="e">
            <v>#VALUE!</v>
          </cell>
          <cell r="F790" t="str">
            <v/>
          </cell>
          <cell r="G790" t="str">
            <v/>
          </cell>
          <cell r="H790" t="str">
            <v/>
          </cell>
          <cell r="I790" t="str">
            <v/>
          </cell>
          <cell r="J790" t="str">
            <v/>
          </cell>
        </row>
        <row r="791">
          <cell r="B791" t="str">
            <v>CT53013010</v>
          </cell>
          <cell r="C791" t="str">
            <v/>
          </cell>
          <cell r="D791" t="str">
            <v/>
          </cell>
          <cell r="E791" t="e">
            <v>#VALUE!</v>
          </cell>
          <cell r="F791" t="str">
            <v/>
          </cell>
          <cell r="G791" t="str">
            <v/>
          </cell>
          <cell r="H791" t="str">
            <v/>
          </cell>
          <cell r="I791" t="str">
            <v/>
          </cell>
          <cell r="J791" t="str">
            <v/>
          </cell>
        </row>
        <row r="792">
          <cell r="B792" t="str">
            <v>CT53013011</v>
          </cell>
          <cell r="C792" t="str">
            <v/>
          </cell>
          <cell r="D792" t="str">
            <v/>
          </cell>
          <cell r="E792" t="e">
            <v>#VALUE!</v>
          </cell>
          <cell r="F792" t="str">
            <v/>
          </cell>
          <cell r="G792" t="str">
            <v/>
          </cell>
          <cell r="H792" t="str">
            <v/>
          </cell>
          <cell r="I792" t="str">
            <v/>
          </cell>
          <cell r="J792" t="str">
            <v/>
          </cell>
        </row>
        <row r="793">
          <cell r="B793" t="str">
            <v>CT53013012</v>
          </cell>
          <cell r="C793" t="str">
            <v/>
          </cell>
          <cell r="D793" t="str">
            <v/>
          </cell>
          <cell r="E793" t="e">
            <v>#VALUE!</v>
          </cell>
          <cell r="F793" t="str">
            <v/>
          </cell>
          <cell r="G793" t="str">
            <v/>
          </cell>
          <cell r="H793" t="str">
            <v/>
          </cell>
          <cell r="I793" t="str">
            <v/>
          </cell>
          <cell r="J793" t="str">
            <v/>
          </cell>
        </row>
        <row r="794">
          <cell r="B794" t="str">
            <v>CT5301001</v>
          </cell>
          <cell r="C794">
            <v>39320</v>
          </cell>
          <cell r="D794">
            <v>3860</v>
          </cell>
          <cell r="E794">
            <v>43180</v>
          </cell>
          <cell r="F794">
            <v>8.9</v>
          </cell>
          <cell r="G794">
            <v>43180</v>
          </cell>
          <cell r="H794">
            <v>39320</v>
          </cell>
          <cell r="I794">
            <v>3860</v>
          </cell>
          <cell r="J794">
            <v>8.9</v>
          </cell>
        </row>
        <row r="795">
          <cell r="B795" t="str">
            <v>CT5301002</v>
          </cell>
          <cell r="C795">
            <v>39270</v>
          </cell>
          <cell r="D795">
            <v>3930</v>
          </cell>
          <cell r="E795">
            <v>43200</v>
          </cell>
          <cell r="F795">
            <v>9.1</v>
          </cell>
          <cell r="G795">
            <v>43190</v>
          </cell>
          <cell r="H795">
            <v>39290</v>
          </cell>
          <cell r="I795">
            <v>3890</v>
          </cell>
          <cell r="J795">
            <v>9.0175511716217471</v>
          </cell>
        </row>
        <row r="796">
          <cell r="B796" t="str">
            <v>CT5301003</v>
          </cell>
          <cell r="C796">
            <v>39670</v>
          </cell>
          <cell r="D796">
            <v>3940</v>
          </cell>
          <cell r="E796">
            <v>43610</v>
          </cell>
          <cell r="F796">
            <v>9</v>
          </cell>
          <cell r="G796">
            <v>43330</v>
          </cell>
          <cell r="H796">
            <v>39420</v>
          </cell>
          <cell r="I796">
            <v>3910</v>
          </cell>
          <cell r="J796">
            <v>9.0234182668636151</v>
          </cell>
        </row>
        <row r="797">
          <cell r="B797" t="str">
            <v>CT5301004</v>
          </cell>
          <cell r="C797">
            <v>39380</v>
          </cell>
          <cell r="D797">
            <v>3280</v>
          </cell>
          <cell r="E797">
            <v>42660</v>
          </cell>
          <cell r="F797">
            <v>7.7</v>
          </cell>
          <cell r="G797">
            <v>43160</v>
          </cell>
          <cell r="H797">
            <v>39410</v>
          </cell>
          <cell r="I797">
            <v>3750</v>
          </cell>
          <cell r="J797">
            <v>8.6925545348177149</v>
          </cell>
        </row>
        <row r="798">
          <cell r="B798" t="str">
            <v>CT5301005</v>
          </cell>
          <cell r="C798">
            <v>39910</v>
          </cell>
          <cell r="D798">
            <v>3420</v>
          </cell>
          <cell r="E798">
            <v>43330</v>
          </cell>
          <cell r="F798">
            <v>7.9</v>
          </cell>
          <cell r="G798">
            <v>43190</v>
          </cell>
          <cell r="H798">
            <v>39510</v>
          </cell>
          <cell r="I798">
            <v>3680</v>
          </cell>
          <cell r="J798">
            <v>8.5308934656986235</v>
          </cell>
        </row>
        <row r="799">
          <cell r="B799" t="str">
            <v>CT5301006</v>
          </cell>
          <cell r="C799">
            <v>39280</v>
          </cell>
          <cell r="D799">
            <v>3470</v>
          </cell>
          <cell r="E799">
            <v>42750</v>
          </cell>
          <cell r="F799">
            <v>8.1</v>
          </cell>
          <cell r="G799">
            <v>43120</v>
          </cell>
          <cell r="H799">
            <v>39470</v>
          </cell>
          <cell r="I799">
            <v>3650</v>
          </cell>
          <cell r="J799">
            <v>8.4613362812019268</v>
          </cell>
        </row>
        <row r="800">
          <cell r="B800" t="str">
            <v>CT5301007</v>
          </cell>
          <cell r="C800">
            <v>39070</v>
          </cell>
          <cell r="D800">
            <v>3490</v>
          </cell>
          <cell r="E800">
            <v>42560</v>
          </cell>
          <cell r="F800">
            <v>8.1999999999999993</v>
          </cell>
          <cell r="G800">
            <v>43040</v>
          </cell>
          <cell r="H800">
            <v>39410</v>
          </cell>
          <cell r="I800">
            <v>3630</v>
          </cell>
          <cell r="J800">
            <v>8.4243613105373392</v>
          </cell>
        </row>
        <row r="801">
          <cell r="B801" t="str">
            <v>CT5301008</v>
          </cell>
          <cell r="C801" t="str">
            <v/>
          </cell>
          <cell r="D801" t="str">
            <v/>
          </cell>
          <cell r="E801" t="e">
            <v>#VALUE!</v>
          </cell>
          <cell r="F801" t="str">
            <v/>
          </cell>
          <cell r="G801" t="str">
            <v/>
          </cell>
          <cell r="H801" t="str">
            <v/>
          </cell>
          <cell r="I801" t="str">
            <v/>
          </cell>
          <cell r="J801" t="str">
            <v/>
          </cell>
        </row>
        <row r="802">
          <cell r="B802" t="str">
            <v>CT5301009</v>
          </cell>
          <cell r="C802" t="str">
            <v/>
          </cell>
          <cell r="D802" t="str">
            <v/>
          </cell>
          <cell r="E802" t="e">
            <v>#VALUE!</v>
          </cell>
          <cell r="F802" t="str">
            <v/>
          </cell>
          <cell r="G802" t="str">
            <v/>
          </cell>
          <cell r="H802" t="str">
            <v/>
          </cell>
          <cell r="I802" t="str">
            <v/>
          </cell>
          <cell r="J802" t="str">
            <v/>
          </cell>
        </row>
        <row r="803">
          <cell r="B803" t="str">
            <v>CT53010010</v>
          </cell>
          <cell r="C803" t="str">
            <v/>
          </cell>
          <cell r="D803" t="str">
            <v/>
          </cell>
          <cell r="E803" t="e">
            <v>#VALUE!</v>
          </cell>
          <cell r="F803" t="str">
            <v/>
          </cell>
          <cell r="G803" t="str">
            <v/>
          </cell>
          <cell r="H803" t="str">
            <v/>
          </cell>
          <cell r="I803" t="str">
            <v/>
          </cell>
          <cell r="J803" t="str">
            <v/>
          </cell>
        </row>
        <row r="804">
          <cell r="B804" t="str">
            <v>CT53010011</v>
          </cell>
          <cell r="C804" t="str">
            <v/>
          </cell>
          <cell r="D804" t="str">
            <v/>
          </cell>
          <cell r="E804" t="e">
            <v>#VALUE!</v>
          </cell>
          <cell r="F804" t="str">
            <v/>
          </cell>
          <cell r="G804" t="str">
            <v/>
          </cell>
          <cell r="H804" t="str">
            <v/>
          </cell>
          <cell r="I804" t="str">
            <v/>
          </cell>
          <cell r="J804" t="str">
            <v/>
          </cell>
        </row>
        <row r="805">
          <cell r="B805" t="str">
            <v>CT53010012</v>
          </cell>
          <cell r="C805" t="str">
            <v/>
          </cell>
          <cell r="D805" t="str">
            <v/>
          </cell>
          <cell r="E805" t="e">
            <v>#VALUE!</v>
          </cell>
          <cell r="F805" t="str">
            <v/>
          </cell>
          <cell r="G805" t="str">
            <v/>
          </cell>
          <cell r="H805" t="str">
            <v/>
          </cell>
          <cell r="I805" t="str">
            <v/>
          </cell>
          <cell r="J805" t="str">
            <v/>
          </cell>
        </row>
        <row r="806">
          <cell r="B806" t="str">
            <v>CT5300501</v>
          </cell>
          <cell r="C806">
            <v>29380</v>
          </cell>
          <cell r="D806">
            <v>2950</v>
          </cell>
          <cell r="E806">
            <v>32330</v>
          </cell>
          <cell r="F806">
            <v>9.1</v>
          </cell>
          <cell r="G806">
            <v>32330</v>
          </cell>
          <cell r="H806">
            <v>29380</v>
          </cell>
          <cell r="I806">
            <v>2950</v>
          </cell>
          <cell r="J806">
            <v>9.1</v>
          </cell>
        </row>
        <row r="807">
          <cell r="B807" t="str">
            <v>CT5300502</v>
          </cell>
          <cell r="C807">
            <v>29500</v>
          </cell>
          <cell r="D807">
            <v>2990</v>
          </cell>
          <cell r="E807">
            <v>32490</v>
          </cell>
          <cell r="F807">
            <v>9.1999999999999993</v>
          </cell>
          <cell r="G807">
            <v>32410</v>
          </cell>
          <cell r="H807">
            <v>29440</v>
          </cell>
          <cell r="I807">
            <v>2970</v>
          </cell>
          <cell r="J807">
            <v>9.1680422072412568</v>
          </cell>
        </row>
        <row r="808">
          <cell r="B808" t="str">
            <v>CT5300503</v>
          </cell>
          <cell r="C808">
            <v>29410</v>
          </cell>
          <cell r="D808">
            <v>2970</v>
          </cell>
          <cell r="E808">
            <v>32380</v>
          </cell>
          <cell r="F808">
            <v>9.1999999999999993</v>
          </cell>
          <cell r="G808">
            <v>32400</v>
          </cell>
          <cell r="H808">
            <v>29430</v>
          </cell>
          <cell r="I808">
            <v>2970</v>
          </cell>
          <cell r="J808">
            <v>9.1676011563667039</v>
          </cell>
        </row>
        <row r="809">
          <cell r="B809" t="str">
            <v>CT5300504</v>
          </cell>
          <cell r="C809">
            <v>29140</v>
          </cell>
          <cell r="D809">
            <v>2780</v>
          </cell>
          <cell r="E809">
            <v>31920</v>
          </cell>
          <cell r="F809">
            <v>8.6999999999999993</v>
          </cell>
          <cell r="G809">
            <v>32280</v>
          </cell>
          <cell r="H809">
            <v>29360</v>
          </cell>
          <cell r="I809">
            <v>2920</v>
          </cell>
          <cell r="J809">
            <v>9.0528891952384996</v>
          </cell>
        </row>
        <row r="810">
          <cell r="B810" t="str">
            <v>CT5300505</v>
          </cell>
          <cell r="C810">
            <v>29320</v>
          </cell>
          <cell r="D810">
            <v>2820</v>
          </cell>
          <cell r="E810">
            <v>32140</v>
          </cell>
          <cell r="F810">
            <v>8.8000000000000007</v>
          </cell>
          <cell r="G810">
            <v>32250</v>
          </cell>
          <cell r="H810">
            <v>29350</v>
          </cell>
          <cell r="I810">
            <v>2900</v>
          </cell>
          <cell r="J810">
            <v>8.9942824542038231</v>
          </cell>
        </row>
        <row r="811">
          <cell r="B811" t="str">
            <v>CT5300506</v>
          </cell>
          <cell r="C811">
            <v>29250</v>
          </cell>
          <cell r="D811">
            <v>3000</v>
          </cell>
          <cell r="E811">
            <v>32250</v>
          </cell>
          <cell r="F811">
            <v>9.3000000000000007</v>
          </cell>
          <cell r="G811">
            <v>32250</v>
          </cell>
          <cell r="H811">
            <v>29330</v>
          </cell>
          <cell r="I811">
            <v>2920</v>
          </cell>
          <cell r="J811">
            <v>9.0457610914446658</v>
          </cell>
        </row>
        <row r="812">
          <cell r="B812" t="str">
            <v>CT5300507</v>
          </cell>
          <cell r="C812">
            <v>29180</v>
          </cell>
          <cell r="D812">
            <v>2870</v>
          </cell>
          <cell r="E812">
            <v>32050</v>
          </cell>
          <cell r="F812">
            <v>9</v>
          </cell>
          <cell r="G812">
            <v>32220</v>
          </cell>
          <cell r="H812">
            <v>29310</v>
          </cell>
          <cell r="I812">
            <v>2910</v>
          </cell>
          <cell r="J812">
            <v>9.032306689661592</v>
          </cell>
        </row>
        <row r="813">
          <cell r="B813" t="str">
            <v>CT5300508</v>
          </cell>
          <cell r="C813" t="str">
            <v/>
          </cell>
          <cell r="D813" t="str">
            <v/>
          </cell>
          <cell r="E813" t="e">
            <v>#VALUE!</v>
          </cell>
          <cell r="F813" t="str">
            <v/>
          </cell>
          <cell r="G813" t="str">
            <v/>
          </cell>
          <cell r="H813" t="str">
            <v/>
          </cell>
          <cell r="I813" t="str">
            <v/>
          </cell>
          <cell r="J813" t="str">
            <v/>
          </cell>
        </row>
        <row r="814">
          <cell r="B814" t="str">
            <v>CT5300509</v>
          </cell>
          <cell r="C814" t="str">
            <v/>
          </cell>
          <cell r="D814" t="str">
            <v/>
          </cell>
          <cell r="E814" t="e">
            <v>#VALUE!</v>
          </cell>
          <cell r="F814" t="str">
            <v/>
          </cell>
          <cell r="G814" t="str">
            <v/>
          </cell>
          <cell r="H814" t="str">
            <v/>
          </cell>
          <cell r="I814" t="str">
            <v/>
          </cell>
          <cell r="J814" t="str">
            <v/>
          </cell>
        </row>
        <row r="815">
          <cell r="B815" t="str">
            <v>CT53005010</v>
          </cell>
          <cell r="C815" t="str">
            <v/>
          </cell>
          <cell r="D815" t="str">
            <v/>
          </cell>
          <cell r="E815" t="e">
            <v>#VALUE!</v>
          </cell>
          <cell r="F815" t="str">
            <v/>
          </cell>
          <cell r="G815" t="str">
            <v/>
          </cell>
          <cell r="H815" t="str">
            <v/>
          </cell>
          <cell r="I815" t="str">
            <v/>
          </cell>
          <cell r="J815" t="str">
            <v/>
          </cell>
        </row>
        <row r="816">
          <cell r="B816" t="str">
            <v>CT53005011</v>
          </cell>
          <cell r="C816" t="str">
            <v/>
          </cell>
          <cell r="D816" t="str">
            <v/>
          </cell>
          <cell r="E816" t="e">
            <v>#VALUE!</v>
          </cell>
          <cell r="F816" t="str">
            <v/>
          </cell>
          <cell r="G816" t="str">
            <v/>
          </cell>
          <cell r="H816" t="str">
            <v/>
          </cell>
          <cell r="I816" t="str">
            <v/>
          </cell>
          <cell r="J816" t="str">
            <v/>
          </cell>
        </row>
        <row r="817">
          <cell r="B817" t="str">
            <v>CT53005012</v>
          </cell>
          <cell r="C817" t="str">
            <v/>
          </cell>
          <cell r="D817" t="str">
            <v/>
          </cell>
          <cell r="E817" t="e">
            <v>#VALUE!</v>
          </cell>
          <cell r="F817" t="str">
            <v/>
          </cell>
          <cell r="G817" t="str">
            <v/>
          </cell>
          <cell r="H817" t="str">
            <v/>
          </cell>
          <cell r="I817" t="str">
            <v/>
          </cell>
          <cell r="J817" t="str">
            <v/>
          </cell>
        </row>
        <row r="818">
          <cell r="B818" t="str">
            <v>CN5306901</v>
          </cell>
          <cell r="C818">
            <v>1340</v>
          </cell>
          <cell r="D818">
            <v>250</v>
          </cell>
          <cell r="E818">
            <v>1590</v>
          </cell>
          <cell r="F818">
            <v>15.9</v>
          </cell>
          <cell r="G818">
            <v>1600</v>
          </cell>
          <cell r="H818">
            <v>1340</v>
          </cell>
          <cell r="I818">
            <v>250</v>
          </cell>
          <cell r="J818">
            <v>15.9</v>
          </cell>
        </row>
        <row r="819">
          <cell r="B819" t="str">
            <v>CN5306902</v>
          </cell>
          <cell r="C819">
            <v>1360</v>
          </cell>
          <cell r="D819">
            <v>230</v>
          </cell>
          <cell r="E819">
            <v>1590</v>
          </cell>
          <cell r="F819">
            <v>14.3</v>
          </cell>
          <cell r="G819">
            <v>1590</v>
          </cell>
          <cell r="H819">
            <v>1350</v>
          </cell>
          <cell r="I819">
            <v>240</v>
          </cell>
          <cell r="J819">
            <v>15.121031122288588</v>
          </cell>
        </row>
        <row r="820">
          <cell r="B820" t="str">
            <v>CN5306903</v>
          </cell>
          <cell r="C820">
            <v>1370</v>
          </cell>
          <cell r="D820">
            <v>230</v>
          </cell>
          <cell r="E820">
            <v>1600</v>
          </cell>
          <cell r="F820">
            <v>14.3</v>
          </cell>
          <cell r="G820">
            <v>1590</v>
          </cell>
          <cell r="H820">
            <v>1360</v>
          </cell>
          <cell r="I820">
            <v>240</v>
          </cell>
          <cell r="J820">
            <v>14.859773964001674</v>
          </cell>
        </row>
        <row r="821">
          <cell r="B821" t="str">
            <v>CN5306904</v>
          </cell>
          <cell r="C821">
            <v>1360</v>
          </cell>
          <cell r="D821">
            <v>190</v>
          </cell>
          <cell r="E821">
            <v>1550</v>
          </cell>
          <cell r="F821">
            <v>12.5</v>
          </cell>
          <cell r="G821">
            <v>1580</v>
          </cell>
          <cell r="H821">
            <v>1360</v>
          </cell>
          <cell r="I821">
            <v>230</v>
          </cell>
          <cell r="J821">
            <v>14.267676767676768</v>
          </cell>
        </row>
        <row r="822">
          <cell r="B822" t="str">
            <v>CN5306905</v>
          </cell>
          <cell r="C822">
            <v>1380</v>
          </cell>
          <cell r="D822">
            <v>190</v>
          </cell>
          <cell r="E822">
            <v>1570</v>
          </cell>
          <cell r="F822">
            <v>12.2</v>
          </cell>
          <cell r="G822">
            <v>1580</v>
          </cell>
          <cell r="H822">
            <v>1360</v>
          </cell>
          <cell r="I822">
            <v>220</v>
          </cell>
          <cell r="J822">
            <v>13.864642631246046</v>
          </cell>
        </row>
        <row r="823">
          <cell r="B823" t="str">
            <v>CN5306906</v>
          </cell>
          <cell r="C823">
            <v>1320</v>
          </cell>
          <cell r="D823">
            <v>200</v>
          </cell>
          <cell r="E823">
            <v>1520</v>
          </cell>
          <cell r="F823">
            <v>13.2</v>
          </cell>
          <cell r="G823">
            <v>1570</v>
          </cell>
          <cell r="H823">
            <v>1350</v>
          </cell>
          <cell r="I823">
            <v>220</v>
          </cell>
          <cell r="J823">
            <v>13.752122241086587</v>
          </cell>
        </row>
        <row r="824">
          <cell r="B824" t="str">
            <v>CN5306907</v>
          </cell>
          <cell r="C824">
            <v>1280</v>
          </cell>
          <cell r="D824">
            <v>170</v>
          </cell>
          <cell r="E824">
            <v>1450</v>
          </cell>
          <cell r="F824">
            <v>11.9</v>
          </cell>
          <cell r="G824">
            <v>1550</v>
          </cell>
          <cell r="H824">
            <v>1340</v>
          </cell>
          <cell r="I824">
            <v>210</v>
          </cell>
          <cell r="J824">
            <v>13.509787703336091</v>
          </cell>
        </row>
        <row r="825">
          <cell r="B825" t="str">
            <v>CN5306908</v>
          </cell>
          <cell r="C825" t="str">
            <v/>
          </cell>
          <cell r="D825" t="str">
            <v/>
          </cell>
          <cell r="E825" t="e">
            <v>#VALUE!</v>
          </cell>
          <cell r="F825" t="str">
            <v/>
          </cell>
          <cell r="G825" t="str">
            <v/>
          </cell>
          <cell r="H825" t="str">
            <v/>
          </cell>
          <cell r="I825" t="str">
            <v/>
          </cell>
          <cell r="J825" t="str">
            <v/>
          </cell>
        </row>
        <row r="826">
          <cell r="B826" t="str">
            <v>CN5306909</v>
          </cell>
          <cell r="C826" t="str">
            <v/>
          </cell>
          <cell r="D826" t="str">
            <v/>
          </cell>
          <cell r="E826" t="e">
            <v>#VALUE!</v>
          </cell>
          <cell r="F826" t="str">
            <v/>
          </cell>
          <cell r="G826" t="str">
            <v/>
          </cell>
          <cell r="H826" t="str">
            <v/>
          </cell>
          <cell r="I826" t="str">
            <v/>
          </cell>
          <cell r="J826" t="str">
            <v/>
          </cell>
        </row>
        <row r="827">
          <cell r="B827" t="str">
            <v>CN53069010</v>
          </cell>
          <cell r="C827" t="str">
            <v/>
          </cell>
          <cell r="D827" t="str">
            <v/>
          </cell>
          <cell r="E827" t="e">
            <v>#VALUE!</v>
          </cell>
          <cell r="F827" t="str">
            <v/>
          </cell>
          <cell r="G827" t="str">
            <v/>
          </cell>
          <cell r="H827" t="str">
            <v/>
          </cell>
          <cell r="I827" t="str">
            <v/>
          </cell>
          <cell r="J827" t="str">
            <v/>
          </cell>
        </row>
        <row r="828">
          <cell r="B828" t="str">
            <v>CN53069011</v>
          </cell>
          <cell r="C828" t="str">
            <v/>
          </cell>
          <cell r="D828" t="str">
            <v/>
          </cell>
          <cell r="E828" t="e">
            <v>#VALUE!</v>
          </cell>
          <cell r="F828" t="str">
            <v/>
          </cell>
          <cell r="G828" t="str">
            <v/>
          </cell>
          <cell r="H828" t="str">
            <v/>
          </cell>
          <cell r="I828" t="str">
            <v/>
          </cell>
          <cell r="J828" t="str">
            <v/>
          </cell>
        </row>
        <row r="829">
          <cell r="B829" t="str">
            <v>CN53069012</v>
          </cell>
          <cell r="C829" t="str">
            <v/>
          </cell>
          <cell r="D829" t="str">
            <v/>
          </cell>
          <cell r="E829" t="e">
            <v>#VALUE!</v>
          </cell>
          <cell r="F829" t="str">
            <v/>
          </cell>
          <cell r="G829" t="str">
            <v/>
          </cell>
          <cell r="H829" t="str">
            <v/>
          </cell>
          <cell r="I829" t="str">
            <v/>
          </cell>
          <cell r="J829" t="str">
            <v/>
          </cell>
        </row>
        <row r="830">
          <cell r="B830" t="str">
            <v>CN5306501</v>
          </cell>
          <cell r="C830">
            <v>15790</v>
          </cell>
          <cell r="D830">
            <v>2470</v>
          </cell>
          <cell r="E830">
            <v>18260</v>
          </cell>
          <cell r="F830">
            <v>13.5</v>
          </cell>
          <cell r="G830">
            <v>18260</v>
          </cell>
          <cell r="H830">
            <v>15790</v>
          </cell>
          <cell r="I830">
            <v>2470</v>
          </cell>
          <cell r="J830">
            <v>13.5</v>
          </cell>
        </row>
        <row r="831">
          <cell r="B831" t="str">
            <v>CN5306502</v>
          </cell>
          <cell r="C831">
            <v>15830</v>
          </cell>
          <cell r="D831">
            <v>2530</v>
          </cell>
          <cell r="E831">
            <v>18360</v>
          </cell>
          <cell r="F831">
            <v>13.8</v>
          </cell>
          <cell r="G831">
            <v>18310</v>
          </cell>
          <cell r="H831">
            <v>15810</v>
          </cell>
          <cell r="I831">
            <v>2500</v>
          </cell>
          <cell r="J831">
            <v>13.661814109742441</v>
          </cell>
        </row>
        <row r="832">
          <cell r="B832" t="str">
            <v>CN5306503</v>
          </cell>
          <cell r="C832">
            <v>15790</v>
          </cell>
          <cell r="D832">
            <v>2570</v>
          </cell>
          <cell r="E832">
            <v>18360</v>
          </cell>
          <cell r="F832">
            <v>14</v>
          </cell>
          <cell r="G832">
            <v>18320</v>
          </cell>
          <cell r="H832">
            <v>15800</v>
          </cell>
          <cell r="I832">
            <v>2520</v>
          </cell>
          <cell r="J832">
            <v>13.771648959394556</v>
          </cell>
        </row>
        <row r="833">
          <cell r="B833" t="str">
            <v>CN5306504</v>
          </cell>
          <cell r="C833">
            <v>16040</v>
          </cell>
          <cell r="D833">
            <v>2190</v>
          </cell>
          <cell r="E833">
            <v>18230</v>
          </cell>
          <cell r="F833">
            <v>12</v>
          </cell>
          <cell r="G833">
            <v>18300</v>
          </cell>
          <cell r="H833">
            <v>15860</v>
          </cell>
          <cell r="I833">
            <v>2440</v>
          </cell>
          <cell r="J833">
            <v>13.336976569437804</v>
          </cell>
        </row>
        <row r="834">
          <cell r="B834" t="str">
            <v>CN5306505</v>
          </cell>
          <cell r="C834">
            <v>16090</v>
          </cell>
          <cell r="D834">
            <v>2080</v>
          </cell>
          <cell r="E834">
            <v>18170</v>
          </cell>
          <cell r="F834">
            <v>11.4</v>
          </cell>
          <cell r="G834">
            <v>18270</v>
          </cell>
          <cell r="H834">
            <v>15910</v>
          </cell>
          <cell r="I834">
            <v>2370</v>
          </cell>
          <cell r="J834">
            <v>12.956821539977014</v>
          </cell>
        </row>
        <row r="835">
          <cell r="B835" t="str">
            <v>CN5306506</v>
          </cell>
          <cell r="C835">
            <v>16150</v>
          </cell>
          <cell r="D835">
            <v>2060</v>
          </cell>
          <cell r="E835">
            <v>18210</v>
          </cell>
          <cell r="F835">
            <v>11.3</v>
          </cell>
          <cell r="G835">
            <v>18260</v>
          </cell>
          <cell r="H835">
            <v>15950</v>
          </cell>
          <cell r="I835">
            <v>2320</v>
          </cell>
          <cell r="J835">
            <v>12.685259545885957</v>
          </cell>
        </row>
        <row r="836">
          <cell r="B836" t="str">
            <v>CN5306507</v>
          </cell>
          <cell r="C836">
            <v>15820</v>
          </cell>
          <cell r="D836">
            <v>1990</v>
          </cell>
          <cell r="E836">
            <v>17810</v>
          </cell>
          <cell r="F836">
            <v>11.2</v>
          </cell>
          <cell r="G836">
            <v>18200</v>
          </cell>
          <cell r="H836">
            <v>15930</v>
          </cell>
          <cell r="I836">
            <v>2270</v>
          </cell>
          <cell r="J836">
            <v>12.475861527592434</v>
          </cell>
        </row>
        <row r="837">
          <cell r="B837" t="str">
            <v>CN5306508</v>
          </cell>
          <cell r="C837" t="str">
            <v/>
          </cell>
          <cell r="D837" t="str">
            <v/>
          </cell>
          <cell r="E837" t="e">
            <v>#VALUE!</v>
          </cell>
          <cell r="F837" t="str">
            <v/>
          </cell>
          <cell r="G837" t="str">
            <v/>
          </cell>
          <cell r="H837" t="str">
            <v/>
          </cell>
          <cell r="I837" t="str">
            <v/>
          </cell>
          <cell r="J837" t="str">
            <v/>
          </cell>
        </row>
        <row r="838">
          <cell r="B838" t="str">
            <v>CN5306509</v>
          </cell>
          <cell r="C838" t="str">
            <v/>
          </cell>
          <cell r="D838" t="str">
            <v/>
          </cell>
          <cell r="E838" t="e">
            <v>#VALUE!</v>
          </cell>
          <cell r="F838" t="str">
            <v/>
          </cell>
          <cell r="G838" t="str">
            <v/>
          </cell>
          <cell r="H838" t="str">
            <v/>
          </cell>
          <cell r="I838" t="str">
            <v/>
          </cell>
          <cell r="J838" t="str">
            <v/>
          </cell>
        </row>
        <row r="839">
          <cell r="B839" t="str">
            <v>CN53065010</v>
          </cell>
          <cell r="C839" t="str">
            <v/>
          </cell>
          <cell r="D839" t="str">
            <v/>
          </cell>
          <cell r="E839" t="e">
            <v>#VALUE!</v>
          </cell>
          <cell r="F839" t="str">
            <v/>
          </cell>
          <cell r="G839" t="str">
            <v/>
          </cell>
          <cell r="H839" t="str">
            <v/>
          </cell>
          <cell r="I839" t="str">
            <v/>
          </cell>
          <cell r="J839" t="str">
            <v/>
          </cell>
        </row>
        <row r="840">
          <cell r="B840" t="str">
            <v>CN53065011</v>
          </cell>
          <cell r="C840" t="str">
            <v/>
          </cell>
          <cell r="D840" t="str">
            <v/>
          </cell>
          <cell r="E840" t="e">
            <v>#VALUE!</v>
          </cell>
          <cell r="F840" t="str">
            <v/>
          </cell>
          <cell r="G840" t="str">
            <v/>
          </cell>
          <cell r="H840" t="str">
            <v/>
          </cell>
          <cell r="I840" t="str">
            <v/>
          </cell>
          <cell r="J840" t="str">
            <v/>
          </cell>
        </row>
        <row r="841">
          <cell r="B841" t="str">
            <v>CN53065012</v>
          </cell>
          <cell r="C841" t="str">
            <v/>
          </cell>
          <cell r="D841" t="str">
            <v/>
          </cell>
          <cell r="E841" t="e">
            <v>#VALUE!</v>
          </cell>
          <cell r="F841" t="str">
            <v/>
          </cell>
          <cell r="G841" t="str">
            <v/>
          </cell>
          <cell r="H841" t="str">
            <v/>
          </cell>
          <cell r="I841" t="str">
            <v/>
          </cell>
          <cell r="J841" t="str">
            <v/>
          </cell>
        </row>
        <row r="842">
          <cell r="B842" t="str">
            <v>CN5305901</v>
          </cell>
          <cell r="C842">
            <v>4440</v>
          </cell>
          <cell r="D842">
            <v>780</v>
          </cell>
          <cell r="E842">
            <v>5220</v>
          </cell>
          <cell r="F842">
            <v>15</v>
          </cell>
          <cell r="G842">
            <v>5220</v>
          </cell>
          <cell r="H842">
            <v>4440</v>
          </cell>
          <cell r="I842">
            <v>780</v>
          </cell>
          <cell r="J842">
            <v>15</v>
          </cell>
        </row>
        <row r="843">
          <cell r="B843" t="str">
            <v>CN5305902</v>
          </cell>
          <cell r="C843">
            <v>4450</v>
          </cell>
          <cell r="D843">
            <v>770</v>
          </cell>
          <cell r="E843">
            <v>5220</v>
          </cell>
          <cell r="F843">
            <v>14.7</v>
          </cell>
          <cell r="G843">
            <v>5220</v>
          </cell>
          <cell r="H843">
            <v>4450</v>
          </cell>
          <cell r="I843">
            <v>770</v>
          </cell>
          <cell r="J843">
            <v>14.82226693494299</v>
          </cell>
        </row>
        <row r="844">
          <cell r="B844" t="str">
            <v>CN5305903</v>
          </cell>
          <cell r="C844">
            <v>4440</v>
          </cell>
          <cell r="D844">
            <v>760</v>
          </cell>
          <cell r="E844">
            <v>5200</v>
          </cell>
          <cell r="F844">
            <v>14.7</v>
          </cell>
          <cell r="G844">
            <v>5210</v>
          </cell>
          <cell r="H844">
            <v>4440</v>
          </cell>
          <cell r="I844">
            <v>770</v>
          </cell>
          <cell r="J844">
            <v>14.774325533819205</v>
          </cell>
        </row>
        <row r="845">
          <cell r="B845" t="str">
            <v>CN5305904</v>
          </cell>
          <cell r="C845">
            <v>4440</v>
          </cell>
          <cell r="D845">
            <v>680</v>
          </cell>
          <cell r="E845">
            <v>5120</v>
          </cell>
          <cell r="F845">
            <v>13.3</v>
          </cell>
          <cell r="G845">
            <v>5190</v>
          </cell>
          <cell r="H845">
            <v>4440</v>
          </cell>
          <cell r="I845">
            <v>750</v>
          </cell>
          <cell r="J845">
            <v>14.421919391342033</v>
          </cell>
        </row>
        <row r="846">
          <cell r="B846" t="str">
            <v>CN5305905</v>
          </cell>
          <cell r="C846">
            <v>4450</v>
          </cell>
          <cell r="D846">
            <v>650</v>
          </cell>
          <cell r="E846">
            <v>5100</v>
          </cell>
          <cell r="F846">
            <v>12.7</v>
          </cell>
          <cell r="G846">
            <v>5170</v>
          </cell>
          <cell r="H846">
            <v>4440</v>
          </cell>
          <cell r="I846">
            <v>730</v>
          </cell>
          <cell r="J846">
            <v>14.090223820016234</v>
          </cell>
        </row>
        <row r="847">
          <cell r="B847" t="str">
            <v>CN5305906</v>
          </cell>
          <cell r="C847">
            <v>4390</v>
          </cell>
          <cell r="D847">
            <v>620</v>
          </cell>
          <cell r="E847">
            <v>5010</v>
          </cell>
          <cell r="F847">
            <v>12.4</v>
          </cell>
          <cell r="G847">
            <v>5150</v>
          </cell>
          <cell r="H847">
            <v>4440</v>
          </cell>
          <cell r="I847">
            <v>710</v>
          </cell>
          <cell r="J847">
            <v>13.816556548775749</v>
          </cell>
        </row>
        <row r="848">
          <cell r="B848" t="str">
            <v>CN5305907</v>
          </cell>
          <cell r="C848">
            <v>4290</v>
          </cell>
          <cell r="D848">
            <v>540</v>
          </cell>
          <cell r="E848">
            <v>4830</v>
          </cell>
          <cell r="F848">
            <v>11.2</v>
          </cell>
          <cell r="G848">
            <v>5100</v>
          </cell>
          <cell r="H848">
            <v>4410</v>
          </cell>
          <cell r="I848">
            <v>690</v>
          </cell>
          <cell r="J848">
            <v>13.468862007168457</v>
          </cell>
        </row>
        <row r="849">
          <cell r="B849" t="str">
            <v>CN5305908</v>
          </cell>
          <cell r="C849" t="str">
            <v/>
          </cell>
          <cell r="D849" t="str">
            <v/>
          </cell>
          <cell r="E849" t="e">
            <v>#VALUE!</v>
          </cell>
          <cell r="F849" t="str">
            <v/>
          </cell>
          <cell r="G849" t="str">
            <v/>
          </cell>
          <cell r="H849" t="str">
            <v/>
          </cell>
          <cell r="I849" t="str">
            <v/>
          </cell>
          <cell r="J849" t="str">
            <v/>
          </cell>
        </row>
        <row r="850">
          <cell r="B850" t="str">
            <v>CN5305909</v>
          </cell>
          <cell r="C850" t="str">
            <v/>
          </cell>
          <cell r="D850" t="str">
            <v/>
          </cell>
          <cell r="E850" t="e">
            <v>#VALUE!</v>
          </cell>
          <cell r="F850" t="str">
            <v/>
          </cell>
          <cell r="G850" t="str">
            <v/>
          </cell>
          <cell r="H850" t="str">
            <v/>
          </cell>
          <cell r="I850" t="str">
            <v/>
          </cell>
          <cell r="J850" t="str">
            <v/>
          </cell>
        </row>
        <row r="851">
          <cell r="B851" t="str">
            <v>CN53059010</v>
          </cell>
          <cell r="C851" t="str">
            <v/>
          </cell>
          <cell r="D851" t="str">
            <v/>
          </cell>
          <cell r="E851" t="e">
            <v>#VALUE!</v>
          </cell>
          <cell r="F851" t="str">
            <v/>
          </cell>
          <cell r="G851" t="str">
            <v/>
          </cell>
          <cell r="H851" t="str">
            <v/>
          </cell>
          <cell r="I851" t="str">
            <v/>
          </cell>
          <cell r="J851" t="str">
            <v/>
          </cell>
        </row>
        <row r="852">
          <cell r="B852" t="str">
            <v>CN53059011</v>
          </cell>
          <cell r="C852" t="str">
            <v/>
          </cell>
          <cell r="D852" t="str">
            <v/>
          </cell>
          <cell r="E852" t="e">
            <v>#VALUE!</v>
          </cell>
          <cell r="F852" t="str">
            <v/>
          </cell>
          <cell r="G852" t="str">
            <v/>
          </cell>
          <cell r="H852" t="str">
            <v/>
          </cell>
          <cell r="I852" t="str">
            <v/>
          </cell>
          <cell r="J852" t="str">
            <v/>
          </cell>
        </row>
        <row r="853">
          <cell r="B853" t="str">
            <v>CN53059012</v>
          </cell>
          <cell r="C853" t="str">
            <v/>
          </cell>
          <cell r="D853" t="str">
            <v/>
          </cell>
          <cell r="E853" t="e">
            <v>#VALUE!</v>
          </cell>
          <cell r="F853" t="str">
            <v/>
          </cell>
          <cell r="G853" t="str">
            <v/>
          </cell>
          <cell r="H853" t="str">
            <v/>
          </cell>
          <cell r="I853" t="str">
            <v/>
          </cell>
          <cell r="J853" t="str">
            <v/>
          </cell>
        </row>
        <row r="854">
          <cell r="B854" t="str">
            <v>CN5305501</v>
          </cell>
          <cell r="C854">
            <v>6900</v>
          </cell>
          <cell r="D854">
            <v>690</v>
          </cell>
          <cell r="E854">
            <v>7590</v>
          </cell>
          <cell r="F854">
            <v>9.1</v>
          </cell>
          <cell r="G854">
            <v>7600</v>
          </cell>
          <cell r="H854">
            <v>6900</v>
          </cell>
          <cell r="I854">
            <v>690</v>
          </cell>
          <cell r="J854">
            <v>9.1</v>
          </cell>
        </row>
        <row r="855">
          <cell r="B855" t="str">
            <v>CN5305502</v>
          </cell>
          <cell r="C855">
            <v>6930</v>
          </cell>
          <cell r="D855">
            <v>650</v>
          </cell>
          <cell r="E855">
            <v>7580</v>
          </cell>
          <cell r="F855">
            <v>8.6</v>
          </cell>
          <cell r="G855">
            <v>7590</v>
          </cell>
          <cell r="H855">
            <v>6920</v>
          </cell>
          <cell r="I855">
            <v>670</v>
          </cell>
          <cell r="J855">
            <v>8.8512489290186522</v>
          </cell>
        </row>
        <row r="856">
          <cell r="B856" t="str">
            <v>CN5305503</v>
          </cell>
          <cell r="C856">
            <v>7060</v>
          </cell>
          <cell r="D856">
            <v>640</v>
          </cell>
          <cell r="E856">
            <v>7700</v>
          </cell>
          <cell r="F856">
            <v>8.3000000000000007</v>
          </cell>
          <cell r="G856">
            <v>7620</v>
          </cell>
          <cell r="H856">
            <v>6960</v>
          </cell>
          <cell r="I856">
            <v>660</v>
          </cell>
          <cell r="J856">
            <v>8.6635178868188589</v>
          </cell>
        </row>
        <row r="857">
          <cell r="B857" t="str">
            <v>CN5305504</v>
          </cell>
          <cell r="C857">
            <v>7260</v>
          </cell>
          <cell r="D857">
            <v>560</v>
          </cell>
          <cell r="E857">
            <v>7820</v>
          </cell>
          <cell r="F857">
            <v>7.2</v>
          </cell>
          <cell r="G857">
            <v>7670</v>
          </cell>
          <cell r="H857">
            <v>7040</v>
          </cell>
          <cell r="I857">
            <v>640</v>
          </cell>
          <cell r="J857">
            <v>8.2855467222729047</v>
          </cell>
        </row>
        <row r="858">
          <cell r="B858" t="str">
            <v>CN5305505</v>
          </cell>
          <cell r="C858">
            <v>7670</v>
          </cell>
          <cell r="D858">
            <v>550</v>
          </cell>
          <cell r="E858">
            <v>8220</v>
          </cell>
          <cell r="F858">
            <v>6.7</v>
          </cell>
          <cell r="G858">
            <v>7780</v>
          </cell>
          <cell r="H858">
            <v>7160</v>
          </cell>
          <cell r="I858">
            <v>620</v>
          </cell>
          <cell r="J858">
            <v>7.9564144736842115</v>
          </cell>
        </row>
        <row r="859">
          <cell r="B859" t="str">
            <v>CN5305506</v>
          </cell>
          <cell r="C859">
            <v>7730</v>
          </cell>
          <cell r="D859">
            <v>540</v>
          </cell>
          <cell r="E859">
            <v>8270</v>
          </cell>
          <cell r="F859">
            <v>6.6</v>
          </cell>
          <cell r="G859">
            <v>7870</v>
          </cell>
          <cell r="H859">
            <v>7260</v>
          </cell>
          <cell r="I859">
            <v>610</v>
          </cell>
          <cell r="J859">
            <v>7.7134986225895306</v>
          </cell>
        </row>
        <row r="860">
          <cell r="B860" t="str">
            <v>CN5305507</v>
          </cell>
          <cell r="C860">
            <v>8180</v>
          </cell>
          <cell r="D860">
            <v>490</v>
          </cell>
          <cell r="E860">
            <v>8670</v>
          </cell>
          <cell r="F860">
            <v>5.7</v>
          </cell>
          <cell r="G860">
            <v>7980</v>
          </cell>
          <cell r="H860">
            <v>7390</v>
          </cell>
          <cell r="I860">
            <v>590</v>
          </cell>
          <cell r="J860">
            <v>7.3936160690309531</v>
          </cell>
        </row>
        <row r="861">
          <cell r="B861" t="str">
            <v>CN5305508</v>
          </cell>
          <cell r="C861" t="str">
            <v/>
          </cell>
          <cell r="D861" t="str">
            <v/>
          </cell>
          <cell r="E861" t="e">
            <v>#VALUE!</v>
          </cell>
          <cell r="F861" t="str">
            <v/>
          </cell>
          <cell r="G861" t="str">
            <v/>
          </cell>
          <cell r="H861" t="str">
            <v/>
          </cell>
          <cell r="I861" t="str">
            <v/>
          </cell>
          <cell r="J861" t="str">
            <v/>
          </cell>
        </row>
        <row r="862">
          <cell r="B862" t="str">
            <v>CN5305509</v>
          </cell>
          <cell r="C862" t="str">
            <v/>
          </cell>
          <cell r="D862" t="str">
            <v/>
          </cell>
          <cell r="E862" t="e">
            <v>#VALUE!</v>
          </cell>
          <cell r="F862" t="str">
            <v/>
          </cell>
          <cell r="G862" t="str">
            <v/>
          </cell>
          <cell r="H862" t="str">
            <v/>
          </cell>
          <cell r="I862" t="str">
            <v/>
          </cell>
          <cell r="J862" t="str">
            <v/>
          </cell>
        </row>
        <row r="863">
          <cell r="B863" t="str">
            <v>CN53055010</v>
          </cell>
          <cell r="C863" t="str">
            <v/>
          </cell>
          <cell r="D863" t="str">
            <v/>
          </cell>
          <cell r="E863" t="e">
            <v>#VALUE!</v>
          </cell>
          <cell r="F863" t="str">
            <v/>
          </cell>
          <cell r="G863" t="str">
            <v/>
          </cell>
          <cell r="H863" t="str">
            <v/>
          </cell>
          <cell r="I863" t="str">
            <v/>
          </cell>
          <cell r="J863" t="str">
            <v/>
          </cell>
        </row>
        <row r="864">
          <cell r="B864" t="str">
            <v>CN53055011</v>
          </cell>
          <cell r="C864" t="str">
            <v/>
          </cell>
          <cell r="D864" t="str">
            <v/>
          </cell>
          <cell r="E864" t="e">
            <v>#VALUE!</v>
          </cell>
          <cell r="F864" t="str">
            <v/>
          </cell>
          <cell r="G864" t="str">
            <v/>
          </cell>
          <cell r="H864" t="str">
            <v/>
          </cell>
          <cell r="I864" t="str">
            <v/>
          </cell>
          <cell r="J864" t="str">
            <v/>
          </cell>
        </row>
        <row r="865">
          <cell r="B865" t="str">
            <v>CN53055012</v>
          </cell>
          <cell r="C865" t="str">
            <v/>
          </cell>
          <cell r="D865" t="str">
            <v/>
          </cell>
          <cell r="E865" t="e">
            <v>#VALUE!</v>
          </cell>
          <cell r="F865" t="str">
            <v/>
          </cell>
          <cell r="G865" t="str">
            <v/>
          </cell>
          <cell r="H865" t="str">
            <v/>
          </cell>
          <cell r="I865" t="str">
            <v/>
          </cell>
          <cell r="J865" t="str">
            <v/>
          </cell>
        </row>
        <row r="866">
          <cell r="B866" t="str">
            <v>CN5305101</v>
          </cell>
          <cell r="C866">
            <v>4550</v>
          </cell>
          <cell r="D866">
            <v>770</v>
          </cell>
          <cell r="E866">
            <v>5320</v>
          </cell>
          <cell r="F866">
            <v>14.5</v>
          </cell>
          <cell r="G866">
            <v>5330</v>
          </cell>
          <cell r="H866">
            <v>4550</v>
          </cell>
          <cell r="I866">
            <v>770</v>
          </cell>
          <cell r="J866">
            <v>14.5</v>
          </cell>
        </row>
        <row r="867">
          <cell r="B867" t="str">
            <v>CN5305102</v>
          </cell>
          <cell r="C867">
            <v>4550</v>
          </cell>
          <cell r="D867">
            <v>780</v>
          </cell>
          <cell r="E867">
            <v>5330</v>
          </cell>
          <cell r="F867">
            <v>14.6</v>
          </cell>
          <cell r="G867">
            <v>5330</v>
          </cell>
          <cell r="H867">
            <v>4550</v>
          </cell>
          <cell r="I867">
            <v>780</v>
          </cell>
          <cell r="J867">
            <v>14.55927907631653</v>
          </cell>
        </row>
        <row r="868">
          <cell r="B868" t="str">
            <v>CN5305103</v>
          </cell>
          <cell r="C868">
            <v>4530</v>
          </cell>
          <cell r="D868">
            <v>760</v>
          </cell>
          <cell r="E868">
            <v>5290</v>
          </cell>
          <cell r="F868">
            <v>14.4</v>
          </cell>
          <cell r="G868">
            <v>5320</v>
          </cell>
          <cell r="H868">
            <v>4540</v>
          </cell>
          <cell r="I868">
            <v>770</v>
          </cell>
          <cell r="J868">
            <v>14.509656383245547</v>
          </cell>
        </row>
        <row r="869">
          <cell r="B869" t="str">
            <v>CN5305104</v>
          </cell>
          <cell r="C869">
            <v>4520</v>
          </cell>
          <cell r="D869">
            <v>670</v>
          </cell>
          <cell r="E869">
            <v>5190</v>
          </cell>
          <cell r="F869">
            <v>12.9</v>
          </cell>
          <cell r="G869">
            <v>5290</v>
          </cell>
          <cell r="H869">
            <v>4540</v>
          </cell>
          <cell r="I869">
            <v>750</v>
          </cell>
          <cell r="J869">
            <v>14.122209610291335</v>
          </cell>
        </row>
        <row r="870">
          <cell r="B870" t="str">
            <v>CN5305105</v>
          </cell>
          <cell r="C870">
            <v>4640</v>
          </cell>
          <cell r="D870">
            <v>650</v>
          </cell>
          <cell r="E870">
            <v>5290</v>
          </cell>
          <cell r="F870">
            <v>12.2</v>
          </cell>
          <cell r="G870">
            <v>5290</v>
          </cell>
          <cell r="H870">
            <v>4560</v>
          </cell>
          <cell r="I870">
            <v>730</v>
          </cell>
          <cell r="J870">
            <v>13.747303893745036</v>
          </cell>
        </row>
        <row r="871">
          <cell r="B871" t="str">
            <v>CN5305106</v>
          </cell>
          <cell r="C871">
            <v>4700</v>
          </cell>
          <cell r="D871">
            <v>650</v>
          </cell>
          <cell r="E871">
            <v>5350</v>
          </cell>
          <cell r="F871">
            <v>12.1</v>
          </cell>
          <cell r="G871">
            <v>5300</v>
          </cell>
          <cell r="H871">
            <v>4580</v>
          </cell>
          <cell r="I871">
            <v>710</v>
          </cell>
          <cell r="J871">
            <v>13.46468588694448</v>
          </cell>
        </row>
        <row r="872">
          <cell r="B872" t="str">
            <v>CN5305107</v>
          </cell>
          <cell r="C872">
            <v>4580</v>
          </cell>
          <cell r="D872">
            <v>600</v>
          </cell>
          <cell r="E872">
            <v>5180</v>
          </cell>
          <cell r="F872">
            <v>11.6</v>
          </cell>
          <cell r="G872">
            <v>5280</v>
          </cell>
          <cell r="H872">
            <v>4580</v>
          </cell>
          <cell r="I872">
            <v>700</v>
          </cell>
          <cell r="J872">
            <v>13.205249627925856</v>
          </cell>
        </row>
        <row r="873">
          <cell r="B873" t="str">
            <v>CN5305108</v>
          </cell>
          <cell r="C873" t="str">
            <v/>
          </cell>
          <cell r="D873" t="str">
            <v/>
          </cell>
          <cell r="E873" t="e">
            <v>#VALUE!</v>
          </cell>
          <cell r="F873" t="str">
            <v/>
          </cell>
          <cell r="G873" t="str">
            <v/>
          </cell>
          <cell r="H873" t="str">
            <v/>
          </cell>
          <cell r="I873" t="str">
            <v/>
          </cell>
          <cell r="J873" t="str">
            <v/>
          </cell>
        </row>
        <row r="874">
          <cell r="B874" t="str">
            <v>CN5305109</v>
          </cell>
          <cell r="C874" t="str">
            <v/>
          </cell>
          <cell r="D874" t="str">
            <v/>
          </cell>
          <cell r="E874" t="e">
            <v>#VALUE!</v>
          </cell>
          <cell r="F874" t="str">
            <v/>
          </cell>
          <cell r="G874" t="str">
            <v/>
          </cell>
          <cell r="H874" t="str">
            <v/>
          </cell>
          <cell r="I874" t="str">
            <v/>
          </cell>
          <cell r="J874" t="str">
            <v/>
          </cell>
        </row>
        <row r="875">
          <cell r="B875" t="str">
            <v>CN53051010</v>
          </cell>
          <cell r="C875" t="str">
            <v/>
          </cell>
          <cell r="D875" t="str">
            <v/>
          </cell>
          <cell r="E875" t="e">
            <v>#VALUE!</v>
          </cell>
          <cell r="F875" t="str">
            <v/>
          </cell>
          <cell r="G875" t="str">
            <v/>
          </cell>
          <cell r="H875" t="str">
            <v/>
          </cell>
          <cell r="I875" t="str">
            <v/>
          </cell>
          <cell r="J875" t="str">
            <v/>
          </cell>
        </row>
        <row r="876">
          <cell r="B876" t="str">
            <v>CN53051011</v>
          </cell>
          <cell r="C876" t="str">
            <v/>
          </cell>
          <cell r="D876" t="str">
            <v/>
          </cell>
          <cell r="E876" t="e">
            <v>#VALUE!</v>
          </cell>
          <cell r="F876" t="str">
            <v/>
          </cell>
          <cell r="G876" t="str">
            <v/>
          </cell>
          <cell r="H876" t="str">
            <v/>
          </cell>
          <cell r="I876" t="str">
            <v/>
          </cell>
          <cell r="J876" t="str">
            <v/>
          </cell>
        </row>
        <row r="877">
          <cell r="B877" t="str">
            <v>CN53051012</v>
          </cell>
          <cell r="C877" t="str">
            <v/>
          </cell>
          <cell r="D877" t="str">
            <v/>
          </cell>
          <cell r="E877" t="e">
            <v>#VALUE!</v>
          </cell>
          <cell r="F877" t="str">
            <v/>
          </cell>
          <cell r="G877" t="str">
            <v/>
          </cell>
          <cell r="H877" t="str">
            <v/>
          </cell>
          <cell r="I877" t="str">
            <v/>
          </cell>
          <cell r="J877" t="str">
            <v/>
          </cell>
        </row>
        <row r="878">
          <cell r="B878" t="str">
            <v>CN5304901</v>
          </cell>
          <cell r="C878">
            <v>7670</v>
          </cell>
          <cell r="D878">
            <v>1220</v>
          </cell>
          <cell r="E878">
            <v>8890</v>
          </cell>
          <cell r="F878">
            <v>13.7</v>
          </cell>
          <cell r="G878">
            <v>8890</v>
          </cell>
          <cell r="H878">
            <v>7670</v>
          </cell>
          <cell r="I878">
            <v>1220</v>
          </cell>
          <cell r="J878">
            <v>13.7</v>
          </cell>
        </row>
        <row r="879">
          <cell r="B879" t="str">
            <v>CN5304902</v>
          </cell>
          <cell r="C879">
            <v>7590</v>
          </cell>
          <cell r="D879">
            <v>1200</v>
          </cell>
          <cell r="E879">
            <v>8790</v>
          </cell>
          <cell r="F879">
            <v>13.6</v>
          </cell>
          <cell r="G879">
            <v>8840</v>
          </cell>
          <cell r="H879">
            <v>7630</v>
          </cell>
          <cell r="I879">
            <v>1210</v>
          </cell>
          <cell r="J879">
            <v>13.683674623826224</v>
          </cell>
        </row>
        <row r="880">
          <cell r="B880" t="str">
            <v>CN5304903</v>
          </cell>
          <cell r="C880">
            <v>7550</v>
          </cell>
          <cell r="D880">
            <v>1230</v>
          </cell>
          <cell r="E880">
            <v>8780</v>
          </cell>
          <cell r="F880">
            <v>14</v>
          </cell>
          <cell r="G880">
            <v>8820</v>
          </cell>
          <cell r="H880">
            <v>7600</v>
          </cell>
          <cell r="I880">
            <v>1220</v>
          </cell>
          <cell r="J880">
            <v>13.795449391488395</v>
          </cell>
        </row>
        <row r="881">
          <cell r="B881" t="str">
            <v>CN5304904</v>
          </cell>
          <cell r="C881">
            <v>7660</v>
          </cell>
          <cell r="D881">
            <v>1110</v>
          </cell>
          <cell r="E881">
            <v>8770</v>
          </cell>
          <cell r="F881">
            <v>12.7</v>
          </cell>
          <cell r="G881">
            <v>8810</v>
          </cell>
          <cell r="H881">
            <v>7620</v>
          </cell>
          <cell r="I881">
            <v>1190</v>
          </cell>
          <cell r="J881">
            <v>13.521030822500993</v>
          </cell>
        </row>
        <row r="882">
          <cell r="B882" t="str">
            <v>CN5304905</v>
          </cell>
          <cell r="C882">
            <v>7850</v>
          </cell>
          <cell r="D882">
            <v>1090</v>
          </cell>
          <cell r="E882">
            <v>8940</v>
          </cell>
          <cell r="F882">
            <v>12.2</v>
          </cell>
          <cell r="G882">
            <v>8840</v>
          </cell>
          <cell r="H882">
            <v>7660</v>
          </cell>
          <cell r="I882">
            <v>1170</v>
          </cell>
          <cell r="J882">
            <v>13.257730091900946</v>
          </cell>
        </row>
        <row r="883">
          <cell r="B883" t="str">
            <v>CN5304906</v>
          </cell>
          <cell r="C883">
            <v>7940</v>
          </cell>
          <cell r="D883">
            <v>1060</v>
          </cell>
          <cell r="E883">
            <v>9000</v>
          </cell>
          <cell r="F883">
            <v>11.8</v>
          </cell>
          <cell r="G883">
            <v>8860</v>
          </cell>
          <cell r="H883">
            <v>7710</v>
          </cell>
          <cell r="I883">
            <v>1150</v>
          </cell>
          <cell r="J883">
            <v>13.014535813008896</v>
          </cell>
        </row>
        <row r="884">
          <cell r="B884" t="str">
            <v>CN5304907</v>
          </cell>
          <cell r="C884">
            <v>7940</v>
          </cell>
          <cell r="D884">
            <v>960</v>
          </cell>
          <cell r="E884">
            <v>8900</v>
          </cell>
          <cell r="F884">
            <v>10.7</v>
          </cell>
          <cell r="G884">
            <v>8870</v>
          </cell>
          <cell r="H884">
            <v>7740</v>
          </cell>
          <cell r="I884">
            <v>1130</v>
          </cell>
          <cell r="J884">
            <v>12.688670887095476</v>
          </cell>
        </row>
        <row r="885">
          <cell r="B885" t="str">
            <v>CN5304908</v>
          </cell>
          <cell r="C885" t="str">
            <v/>
          </cell>
          <cell r="D885" t="str">
            <v/>
          </cell>
          <cell r="E885" t="e">
            <v>#VALUE!</v>
          </cell>
          <cell r="F885" t="str">
            <v/>
          </cell>
          <cell r="G885" t="str">
            <v/>
          </cell>
          <cell r="H885" t="str">
            <v/>
          </cell>
          <cell r="I885" t="str">
            <v/>
          </cell>
          <cell r="J885" t="str">
            <v/>
          </cell>
        </row>
        <row r="886">
          <cell r="B886" t="str">
            <v>CN5304909</v>
          </cell>
          <cell r="C886" t="str">
            <v/>
          </cell>
          <cell r="D886" t="str">
            <v/>
          </cell>
          <cell r="E886" t="e">
            <v>#VALUE!</v>
          </cell>
          <cell r="F886" t="str">
            <v/>
          </cell>
          <cell r="G886" t="str">
            <v/>
          </cell>
          <cell r="H886" t="str">
            <v/>
          </cell>
          <cell r="I886" t="str">
            <v/>
          </cell>
          <cell r="J886" t="str">
            <v/>
          </cell>
        </row>
        <row r="887">
          <cell r="B887" t="str">
            <v>CN53049010</v>
          </cell>
          <cell r="C887" t="str">
            <v/>
          </cell>
          <cell r="D887" t="str">
            <v/>
          </cell>
          <cell r="E887" t="e">
            <v>#VALUE!</v>
          </cell>
          <cell r="F887" t="str">
            <v/>
          </cell>
          <cell r="G887" t="str">
            <v/>
          </cell>
          <cell r="H887" t="str">
            <v/>
          </cell>
          <cell r="I887" t="str">
            <v/>
          </cell>
          <cell r="J887" t="str">
            <v/>
          </cell>
        </row>
        <row r="888">
          <cell r="B888" t="str">
            <v>CN53049011</v>
          </cell>
          <cell r="C888" t="str">
            <v/>
          </cell>
          <cell r="D888" t="str">
            <v/>
          </cell>
          <cell r="E888" t="e">
            <v>#VALUE!</v>
          </cell>
          <cell r="F888" t="str">
            <v/>
          </cell>
          <cell r="G888" t="str">
            <v/>
          </cell>
          <cell r="H888" t="str">
            <v/>
          </cell>
          <cell r="I888" t="str">
            <v/>
          </cell>
          <cell r="J888" t="str">
            <v/>
          </cell>
        </row>
        <row r="889">
          <cell r="B889" t="str">
            <v>CN53049012</v>
          </cell>
          <cell r="C889" t="str">
            <v/>
          </cell>
          <cell r="D889" t="str">
            <v/>
          </cell>
          <cell r="E889" t="e">
            <v>#VALUE!</v>
          </cell>
          <cell r="F889" t="str">
            <v/>
          </cell>
          <cell r="G889" t="str">
            <v/>
          </cell>
          <cell r="H889" t="str">
            <v/>
          </cell>
          <cell r="I889" t="str">
            <v/>
          </cell>
          <cell r="J889" t="str">
            <v/>
          </cell>
        </row>
        <row r="890">
          <cell r="B890" t="str">
            <v>CN5304701</v>
          </cell>
          <cell r="C890">
            <v>16570</v>
          </cell>
          <cell r="D890">
            <v>2510</v>
          </cell>
          <cell r="E890">
            <v>19080</v>
          </cell>
          <cell r="F890">
            <v>13.1</v>
          </cell>
          <cell r="G890">
            <v>19080</v>
          </cell>
          <cell r="H890">
            <v>16570</v>
          </cell>
          <cell r="I890">
            <v>2510</v>
          </cell>
          <cell r="J890">
            <v>13.1</v>
          </cell>
        </row>
        <row r="891">
          <cell r="B891" t="str">
            <v>CN5304702</v>
          </cell>
          <cell r="C891">
            <v>16850</v>
          </cell>
          <cell r="D891">
            <v>2500</v>
          </cell>
          <cell r="E891">
            <v>19350</v>
          </cell>
          <cell r="F891">
            <v>12.9</v>
          </cell>
          <cell r="G891">
            <v>19210</v>
          </cell>
          <cell r="H891">
            <v>16710</v>
          </cell>
          <cell r="I891">
            <v>2500</v>
          </cell>
          <cell r="J891">
            <v>13.026052104208416</v>
          </cell>
        </row>
        <row r="892">
          <cell r="B892" t="str">
            <v>CN5304703</v>
          </cell>
          <cell r="C892">
            <v>17620</v>
          </cell>
          <cell r="D892">
            <v>2470</v>
          </cell>
          <cell r="E892">
            <v>20090</v>
          </cell>
          <cell r="F892">
            <v>12.3</v>
          </cell>
          <cell r="G892">
            <v>19510</v>
          </cell>
          <cell r="H892">
            <v>17010</v>
          </cell>
          <cell r="I892">
            <v>2490</v>
          </cell>
          <cell r="J892">
            <v>12.780246069719754</v>
          </cell>
        </row>
        <row r="893">
          <cell r="B893" t="str">
            <v>CN5304704</v>
          </cell>
          <cell r="C893">
            <v>17930</v>
          </cell>
          <cell r="D893">
            <v>2140</v>
          </cell>
          <cell r="E893">
            <v>20070</v>
          </cell>
          <cell r="F893">
            <v>10.7</v>
          </cell>
          <cell r="G893">
            <v>19650</v>
          </cell>
          <cell r="H893">
            <v>17240</v>
          </cell>
          <cell r="I893">
            <v>2410</v>
          </cell>
          <cell r="J893">
            <v>12.241210378306846</v>
          </cell>
        </row>
        <row r="894">
          <cell r="B894" t="str">
            <v>CN5304705</v>
          </cell>
          <cell r="C894">
            <v>18260</v>
          </cell>
          <cell r="D894">
            <v>2050</v>
          </cell>
          <cell r="E894">
            <v>20310</v>
          </cell>
          <cell r="F894">
            <v>10.1</v>
          </cell>
          <cell r="G894">
            <v>19780</v>
          </cell>
          <cell r="H894">
            <v>17450</v>
          </cell>
          <cell r="I894">
            <v>2330</v>
          </cell>
          <cell r="J894">
            <v>11.798905954559704</v>
          </cell>
        </row>
        <row r="895">
          <cell r="B895" t="str">
            <v>CN5304706</v>
          </cell>
          <cell r="C895">
            <v>20270</v>
          </cell>
          <cell r="D895">
            <v>2060</v>
          </cell>
          <cell r="E895">
            <v>22330</v>
          </cell>
          <cell r="F895">
            <v>9.1999999999999993</v>
          </cell>
          <cell r="G895">
            <v>20200</v>
          </cell>
          <cell r="H895">
            <v>17920</v>
          </cell>
          <cell r="I895">
            <v>2290</v>
          </cell>
          <cell r="J895">
            <v>11.326591216550632</v>
          </cell>
        </row>
        <row r="896">
          <cell r="B896" t="str">
            <v>CN5304707</v>
          </cell>
          <cell r="C896">
            <v>24700</v>
          </cell>
          <cell r="D896">
            <v>1990</v>
          </cell>
          <cell r="E896">
            <v>26690</v>
          </cell>
          <cell r="F896">
            <v>7.5</v>
          </cell>
          <cell r="G896">
            <v>21130</v>
          </cell>
          <cell r="H896">
            <v>18890</v>
          </cell>
          <cell r="I896">
            <v>2250</v>
          </cell>
          <cell r="J896">
            <v>10.630458884291933</v>
          </cell>
        </row>
        <row r="897">
          <cell r="B897" t="str">
            <v>CN5304708</v>
          </cell>
          <cell r="C897" t="str">
            <v/>
          </cell>
          <cell r="D897" t="str">
            <v/>
          </cell>
          <cell r="E897" t="e">
            <v>#VALUE!</v>
          </cell>
          <cell r="F897" t="str">
            <v/>
          </cell>
          <cell r="G897" t="str">
            <v/>
          </cell>
          <cell r="H897" t="str">
            <v/>
          </cell>
          <cell r="I897" t="str">
            <v/>
          </cell>
          <cell r="J897" t="str">
            <v/>
          </cell>
        </row>
        <row r="898">
          <cell r="B898" t="str">
            <v>CN5304709</v>
          </cell>
          <cell r="C898" t="str">
            <v/>
          </cell>
          <cell r="D898" t="str">
            <v/>
          </cell>
          <cell r="E898" t="e">
            <v>#VALUE!</v>
          </cell>
          <cell r="F898" t="str">
            <v/>
          </cell>
          <cell r="G898" t="str">
            <v/>
          </cell>
          <cell r="H898" t="str">
            <v/>
          </cell>
          <cell r="I898" t="str">
            <v/>
          </cell>
          <cell r="J898" t="str">
            <v/>
          </cell>
        </row>
        <row r="899">
          <cell r="B899" t="str">
            <v>CN53047010</v>
          </cell>
          <cell r="C899" t="str">
            <v/>
          </cell>
          <cell r="D899" t="str">
            <v/>
          </cell>
          <cell r="E899" t="e">
            <v>#VALUE!</v>
          </cell>
          <cell r="F899" t="str">
            <v/>
          </cell>
          <cell r="G899" t="str">
            <v/>
          </cell>
          <cell r="H899" t="str">
            <v/>
          </cell>
          <cell r="I899" t="str">
            <v/>
          </cell>
          <cell r="J899" t="str">
            <v/>
          </cell>
        </row>
        <row r="900">
          <cell r="B900" t="str">
            <v>CN53047011</v>
          </cell>
          <cell r="C900" t="str">
            <v/>
          </cell>
          <cell r="D900" t="str">
            <v/>
          </cell>
          <cell r="E900" t="e">
            <v>#VALUE!</v>
          </cell>
          <cell r="F900" t="str">
            <v/>
          </cell>
          <cell r="G900" t="str">
            <v/>
          </cell>
          <cell r="H900" t="str">
            <v/>
          </cell>
          <cell r="I900" t="str">
            <v/>
          </cell>
          <cell r="J900" t="str">
            <v/>
          </cell>
        </row>
        <row r="901">
          <cell r="B901" t="str">
            <v>CN53047012</v>
          </cell>
          <cell r="C901" t="str">
            <v/>
          </cell>
          <cell r="D901" t="str">
            <v/>
          </cell>
          <cell r="E901" t="e">
            <v>#VALUE!</v>
          </cell>
          <cell r="F901" t="str">
            <v/>
          </cell>
          <cell r="G901" t="str">
            <v/>
          </cell>
          <cell r="H901" t="str">
            <v/>
          </cell>
          <cell r="I901" t="str">
            <v/>
          </cell>
          <cell r="J901" t="str">
            <v/>
          </cell>
        </row>
        <row r="902">
          <cell r="B902" t="str">
            <v>CN5304301</v>
          </cell>
          <cell r="C902">
            <v>4290</v>
          </cell>
          <cell r="D902">
            <v>480</v>
          </cell>
          <cell r="E902">
            <v>4770</v>
          </cell>
          <cell r="F902">
            <v>10.1</v>
          </cell>
          <cell r="G902">
            <v>4770</v>
          </cell>
          <cell r="H902">
            <v>4290</v>
          </cell>
          <cell r="I902">
            <v>480</v>
          </cell>
          <cell r="J902">
            <v>10.1</v>
          </cell>
        </row>
        <row r="903">
          <cell r="B903" t="str">
            <v>CN5304302</v>
          </cell>
          <cell r="C903">
            <v>4360</v>
          </cell>
          <cell r="D903">
            <v>460</v>
          </cell>
          <cell r="E903">
            <v>4820</v>
          </cell>
          <cell r="F903">
            <v>9.6</v>
          </cell>
          <cell r="G903">
            <v>4800</v>
          </cell>
          <cell r="H903">
            <v>4320</v>
          </cell>
          <cell r="I903">
            <v>470</v>
          </cell>
          <cell r="J903">
            <v>9.8499061913696053</v>
          </cell>
        </row>
        <row r="904">
          <cell r="B904" t="str">
            <v>CN5304303</v>
          </cell>
          <cell r="C904">
            <v>4460</v>
          </cell>
          <cell r="D904">
            <v>470</v>
          </cell>
          <cell r="E904">
            <v>4930</v>
          </cell>
          <cell r="F904">
            <v>9.6</v>
          </cell>
          <cell r="G904">
            <v>4840</v>
          </cell>
          <cell r="H904">
            <v>4370</v>
          </cell>
          <cell r="I904">
            <v>470</v>
          </cell>
          <cell r="J904">
            <v>9.7653292959878879</v>
          </cell>
        </row>
        <row r="905">
          <cell r="B905" t="str">
            <v>CN5304304</v>
          </cell>
          <cell r="C905">
            <v>4470</v>
          </cell>
          <cell r="D905">
            <v>400</v>
          </cell>
          <cell r="E905">
            <v>4870</v>
          </cell>
          <cell r="F905">
            <v>8.1999999999999993</v>
          </cell>
          <cell r="G905">
            <v>4850</v>
          </cell>
          <cell r="H905">
            <v>4400</v>
          </cell>
          <cell r="I905">
            <v>450</v>
          </cell>
          <cell r="J905">
            <v>9.369685100242231</v>
          </cell>
        </row>
        <row r="906">
          <cell r="B906" t="str">
            <v>CN5304305</v>
          </cell>
          <cell r="C906">
            <v>4530</v>
          </cell>
          <cell r="D906">
            <v>400</v>
          </cell>
          <cell r="E906">
            <v>4930</v>
          </cell>
          <cell r="F906">
            <v>8.1</v>
          </cell>
          <cell r="G906">
            <v>4870</v>
          </cell>
          <cell r="H906">
            <v>4420</v>
          </cell>
          <cell r="I906">
            <v>440</v>
          </cell>
          <cell r="J906">
            <v>9.1110837134755265</v>
          </cell>
        </row>
        <row r="907">
          <cell r="B907" t="str">
            <v>CN5304306</v>
          </cell>
          <cell r="C907">
            <v>4420</v>
          </cell>
          <cell r="D907">
            <v>400</v>
          </cell>
          <cell r="E907">
            <v>4820</v>
          </cell>
          <cell r="F907">
            <v>8.1999999999999993</v>
          </cell>
          <cell r="G907">
            <v>4860</v>
          </cell>
          <cell r="H907">
            <v>4420</v>
          </cell>
          <cell r="I907">
            <v>440</v>
          </cell>
          <cell r="J907">
            <v>8.9649020482382404</v>
          </cell>
        </row>
        <row r="908">
          <cell r="B908" t="str">
            <v>CN5304307</v>
          </cell>
          <cell r="C908">
            <v>4340</v>
          </cell>
          <cell r="D908">
            <v>380</v>
          </cell>
          <cell r="E908">
            <v>4720</v>
          </cell>
          <cell r="F908">
            <v>8</v>
          </cell>
          <cell r="G908">
            <v>4840</v>
          </cell>
          <cell r="H908">
            <v>4410</v>
          </cell>
          <cell r="I908">
            <v>430</v>
          </cell>
          <cell r="J908">
            <v>8.8286532612867994</v>
          </cell>
        </row>
        <row r="909">
          <cell r="B909" t="str">
            <v>CN5304308</v>
          </cell>
          <cell r="C909" t="str">
            <v/>
          </cell>
          <cell r="D909" t="str">
            <v/>
          </cell>
          <cell r="E909" t="e">
            <v>#VALUE!</v>
          </cell>
          <cell r="F909" t="str">
            <v/>
          </cell>
          <cell r="G909" t="str">
            <v/>
          </cell>
          <cell r="H909" t="str">
            <v/>
          </cell>
          <cell r="I909" t="str">
            <v/>
          </cell>
          <cell r="J909" t="str">
            <v/>
          </cell>
        </row>
        <row r="910">
          <cell r="B910" t="str">
            <v>CN5304309</v>
          </cell>
          <cell r="C910" t="str">
            <v/>
          </cell>
          <cell r="D910" t="str">
            <v/>
          </cell>
          <cell r="E910" t="e">
            <v>#VALUE!</v>
          </cell>
          <cell r="F910" t="str">
            <v/>
          </cell>
          <cell r="G910" t="str">
            <v/>
          </cell>
          <cell r="H910" t="str">
            <v/>
          </cell>
          <cell r="I910" t="str">
            <v/>
          </cell>
          <cell r="J910" t="str">
            <v/>
          </cell>
        </row>
        <row r="911">
          <cell r="B911" t="str">
            <v>CN53043010</v>
          </cell>
          <cell r="C911" t="str">
            <v/>
          </cell>
          <cell r="D911" t="str">
            <v/>
          </cell>
          <cell r="E911" t="e">
            <v>#VALUE!</v>
          </cell>
          <cell r="F911" t="str">
            <v/>
          </cell>
          <cell r="G911" t="str">
            <v/>
          </cell>
          <cell r="H911" t="str">
            <v/>
          </cell>
          <cell r="I911" t="str">
            <v/>
          </cell>
          <cell r="J911" t="str">
            <v/>
          </cell>
        </row>
        <row r="912">
          <cell r="B912" t="str">
            <v>CN53043011</v>
          </cell>
          <cell r="C912" t="str">
            <v/>
          </cell>
          <cell r="D912" t="str">
            <v/>
          </cell>
          <cell r="E912" t="e">
            <v>#VALUE!</v>
          </cell>
          <cell r="F912" t="str">
            <v/>
          </cell>
          <cell r="G912" t="str">
            <v/>
          </cell>
          <cell r="H912" t="str">
            <v/>
          </cell>
          <cell r="I912" t="str">
            <v/>
          </cell>
          <cell r="J912" t="str">
            <v/>
          </cell>
        </row>
        <row r="913">
          <cell r="B913" t="str">
            <v>CN53043012</v>
          </cell>
          <cell r="C913" t="str">
            <v/>
          </cell>
          <cell r="D913" t="str">
            <v/>
          </cell>
          <cell r="E913" t="e">
            <v>#VALUE!</v>
          </cell>
          <cell r="F913" t="str">
            <v/>
          </cell>
          <cell r="G913" t="str">
            <v/>
          </cell>
          <cell r="H913" t="str">
            <v/>
          </cell>
          <cell r="I913" t="str">
            <v/>
          </cell>
          <cell r="J913" t="str">
            <v/>
          </cell>
        </row>
        <row r="914">
          <cell r="B914" t="str">
            <v>CN5303901</v>
          </cell>
          <cell r="C914">
            <v>9050</v>
          </cell>
          <cell r="D914">
            <v>1330</v>
          </cell>
          <cell r="E914">
            <v>10380</v>
          </cell>
          <cell r="F914">
            <v>12.8</v>
          </cell>
          <cell r="G914">
            <v>10380</v>
          </cell>
          <cell r="H914">
            <v>9050</v>
          </cell>
          <cell r="I914">
            <v>1330</v>
          </cell>
          <cell r="J914">
            <v>12.8</v>
          </cell>
        </row>
        <row r="915">
          <cell r="B915" t="str">
            <v>CN5303902</v>
          </cell>
          <cell r="C915">
            <v>9380</v>
          </cell>
          <cell r="D915">
            <v>1300</v>
          </cell>
          <cell r="E915">
            <v>10680</v>
          </cell>
          <cell r="F915">
            <v>12.2</v>
          </cell>
          <cell r="G915">
            <v>10530</v>
          </cell>
          <cell r="H915">
            <v>9210</v>
          </cell>
          <cell r="I915">
            <v>1320</v>
          </cell>
          <cell r="J915">
            <v>12.489908344018616</v>
          </cell>
        </row>
        <row r="916">
          <cell r="B916" t="str">
            <v>CN5303903</v>
          </cell>
          <cell r="C916">
            <v>9430</v>
          </cell>
          <cell r="D916">
            <v>1300</v>
          </cell>
          <cell r="E916">
            <v>10730</v>
          </cell>
          <cell r="F916">
            <v>12.1</v>
          </cell>
          <cell r="G916">
            <v>10590</v>
          </cell>
          <cell r="H916">
            <v>9280</v>
          </cell>
          <cell r="I916">
            <v>1310</v>
          </cell>
          <cell r="J916">
            <v>12.351312228585815</v>
          </cell>
        </row>
        <row r="917">
          <cell r="B917" t="str">
            <v>CN5303904</v>
          </cell>
          <cell r="C917">
            <v>9690</v>
          </cell>
          <cell r="D917">
            <v>1150</v>
          </cell>
          <cell r="E917">
            <v>10840</v>
          </cell>
          <cell r="F917">
            <v>10.6</v>
          </cell>
          <cell r="G917">
            <v>10660</v>
          </cell>
          <cell r="H917">
            <v>9390</v>
          </cell>
          <cell r="I917">
            <v>1270</v>
          </cell>
          <cell r="J917">
            <v>11.902862505865791</v>
          </cell>
        </row>
        <row r="918">
          <cell r="B918" t="str">
            <v>CN5303905</v>
          </cell>
          <cell r="C918">
            <v>9800</v>
          </cell>
          <cell r="D918">
            <v>1120</v>
          </cell>
          <cell r="E918">
            <v>10920</v>
          </cell>
          <cell r="F918">
            <v>10.199999999999999</v>
          </cell>
          <cell r="G918">
            <v>10710</v>
          </cell>
          <cell r="H918">
            <v>9470</v>
          </cell>
          <cell r="I918">
            <v>1240</v>
          </cell>
          <cell r="J918">
            <v>11.558793312786026</v>
          </cell>
        </row>
        <row r="919">
          <cell r="B919" t="str">
            <v>CN5303906</v>
          </cell>
          <cell r="C919">
            <v>10270</v>
          </cell>
          <cell r="D919">
            <v>1180</v>
          </cell>
          <cell r="E919">
            <v>11450</v>
          </cell>
          <cell r="F919">
            <v>10.3</v>
          </cell>
          <cell r="G919">
            <v>10830</v>
          </cell>
          <cell r="H919">
            <v>9600</v>
          </cell>
          <cell r="I919">
            <v>1230</v>
          </cell>
          <cell r="J919">
            <v>11.342759989537337</v>
          </cell>
        </row>
        <row r="920">
          <cell r="B920" t="str">
            <v>CN5303907</v>
          </cell>
          <cell r="C920">
            <v>10440</v>
          </cell>
          <cell r="D920">
            <v>970</v>
          </cell>
          <cell r="E920">
            <v>11410</v>
          </cell>
          <cell r="F920">
            <v>8.5</v>
          </cell>
          <cell r="G920">
            <v>10910</v>
          </cell>
          <cell r="H920">
            <v>9720</v>
          </cell>
          <cell r="I920">
            <v>1190</v>
          </cell>
          <cell r="J920">
            <v>10.921037132049788</v>
          </cell>
        </row>
        <row r="921">
          <cell r="B921" t="str">
            <v>CN5303908</v>
          </cell>
          <cell r="C921" t="str">
            <v/>
          </cell>
          <cell r="D921" t="str">
            <v/>
          </cell>
          <cell r="E921" t="e">
            <v>#VALUE!</v>
          </cell>
          <cell r="F921" t="str">
            <v/>
          </cell>
          <cell r="G921" t="str">
            <v/>
          </cell>
          <cell r="H921" t="str">
            <v/>
          </cell>
          <cell r="I921" t="str">
            <v/>
          </cell>
          <cell r="J921" t="str">
            <v/>
          </cell>
        </row>
        <row r="922">
          <cell r="B922" t="str">
            <v>CN5303909</v>
          </cell>
          <cell r="C922" t="str">
            <v/>
          </cell>
          <cell r="D922" t="str">
            <v/>
          </cell>
          <cell r="E922" t="e">
            <v>#VALUE!</v>
          </cell>
          <cell r="F922" t="str">
            <v/>
          </cell>
          <cell r="G922" t="str">
            <v/>
          </cell>
          <cell r="H922" t="str">
            <v/>
          </cell>
          <cell r="I922" t="str">
            <v/>
          </cell>
          <cell r="J922" t="str">
            <v/>
          </cell>
        </row>
        <row r="923">
          <cell r="B923" t="str">
            <v>CN53039010</v>
          </cell>
          <cell r="C923" t="str">
            <v/>
          </cell>
          <cell r="D923" t="str">
            <v/>
          </cell>
          <cell r="E923" t="e">
            <v>#VALUE!</v>
          </cell>
          <cell r="F923" t="str">
            <v/>
          </cell>
          <cell r="G923" t="str">
            <v/>
          </cell>
          <cell r="H923" t="str">
            <v/>
          </cell>
          <cell r="I923" t="str">
            <v/>
          </cell>
          <cell r="J923" t="str">
            <v/>
          </cell>
        </row>
        <row r="924">
          <cell r="B924" t="str">
            <v>CN53039011</v>
          </cell>
          <cell r="C924" t="str">
            <v/>
          </cell>
          <cell r="D924" t="str">
            <v/>
          </cell>
          <cell r="E924" t="e">
            <v>#VALUE!</v>
          </cell>
          <cell r="F924" t="str">
            <v/>
          </cell>
          <cell r="G924" t="str">
            <v/>
          </cell>
          <cell r="H924" t="str">
            <v/>
          </cell>
          <cell r="I924" t="str">
            <v/>
          </cell>
          <cell r="J924" t="str">
            <v/>
          </cell>
        </row>
        <row r="925">
          <cell r="B925" t="str">
            <v>CN53039012</v>
          </cell>
          <cell r="C925" t="str">
            <v/>
          </cell>
          <cell r="D925" t="str">
            <v/>
          </cell>
          <cell r="E925" t="e">
            <v>#VALUE!</v>
          </cell>
          <cell r="F925" t="str">
            <v/>
          </cell>
          <cell r="G925" t="str">
            <v/>
          </cell>
          <cell r="H925" t="str">
            <v/>
          </cell>
          <cell r="I925" t="str">
            <v/>
          </cell>
          <cell r="J925" t="str">
            <v/>
          </cell>
        </row>
        <row r="926">
          <cell r="B926" t="str">
            <v>CN5303101</v>
          </cell>
          <cell r="C926">
            <v>11210</v>
          </cell>
          <cell r="D926">
            <v>1320</v>
          </cell>
          <cell r="E926">
            <v>12530</v>
          </cell>
          <cell r="F926">
            <v>10.5</v>
          </cell>
          <cell r="G926">
            <v>12530</v>
          </cell>
          <cell r="H926">
            <v>11210</v>
          </cell>
          <cell r="I926">
            <v>1320</v>
          </cell>
          <cell r="J926">
            <v>10.5</v>
          </cell>
        </row>
        <row r="927">
          <cell r="B927" t="str">
            <v>CN5303102</v>
          </cell>
          <cell r="C927">
            <v>11130</v>
          </cell>
          <cell r="D927">
            <v>1340</v>
          </cell>
          <cell r="E927">
            <v>12470</v>
          </cell>
          <cell r="F927">
            <v>10.7</v>
          </cell>
          <cell r="G927">
            <v>12500</v>
          </cell>
          <cell r="H927">
            <v>11170</v>
          </cell>
          <cell r="I927">
            <v>1330</v>
          </cell>
          <cell r="J927">
            <v>10.634126825365072</v>
          </cell>
        </row>
        <row r="928">
          <cell r="B928" t="str">
            <v>CN5303103</v>
          </cell>
          <cell r="C928">
            <v>11220</v>
          </cell>
          <cell r="D928">
            <v>1360</v>
          </cell>
          <cell r="E928">
            <v>12580</v>
          </cell>
          <cell r="F928">
            <v>10.8</v>
          </cell>
          <cell r="G928">
            <v>12530</v>
          </cell>
          <cell r="H928">
            <v>11190</v>
          </cell>
          <cell r="I928">
            <v>1340</v>
          </cell>
          <cell r="J928">
            <v>10.694802948455253</v>
          </cell>
        </row>
        <row r="929">
          <cell r="B929" t="str">
            <v>CN5303104</v>
          </cell>
          <cell r="C929">
            <v>11240</v>
          </cell>
          <cell r="D929">
            <v>1190</v>
          </cell>
          <cell r="E929">
            <v>12430</v>
          </cell>
          <cell r="F929">
            <v>9.6</v>
          </cell>
          <cell r="G929">
            <v>12500</v>
          </cell>
          <cell r="H929">
            <v>11200</v>
          </cell>
          <cell r="I929">
            <v>1300</v>
          </cell>
          <cell r="J929">
            <v>10.415916816636672</v>
          </cell>
        </row>
        <row r="930">
          <cell r="B930" t="str">
            <v>CN5303105</v>
          </cell>
          <cell r="C930">
            <v>11460</v>
          </cell>
          <cell r="D930">
            <v>1190</v>
          </cell>
          <cell r="E930">
            <v>12650</v>
          </cell>
          <cell r="F930">
            <v>9.4</v>
          </cell>
          <cell r="G930">
            <v>12530</v>
          </cell>
          <cell r="H930">
            <v>11250</v>
          </cell>
          <cell r="I930">
            <v>1280</v>
          </cell>
          <cell r="J930">
            <v>10.217824942152715</v>
          </cell>
        </row>
        <row r="931">
          <cell r="B931" t="str">
            <v>CN5303106</v>
          </cell>
          <cell r="C931">
            <v>11670</v>
          </cell>
          <cell r="D931">
            <v>1220</v>
          </cell>
          <cell r="E931">
            <v>12890</v>
          </cell>
          <cell r="F931">
            <v>9.5</v>
          </cell>
          <cell r="G931">
            <v>12590</v>
          </cell>
          <cell r="H931">
            <v>11320</v>
          </cell>
          <cell r="I931">
            <v>1270</v>
          </cell>
          <cell r="J931">
            <v>10.092508039861833</v>
          </cell>
        </row>
        <row r="932">
          <cell r="B932" t="str">
            <v>CN5303107</v>
          </cell>
          <cell r="C932">
            <v>11450</v>
          </cell>
          <cell r="D932">
            <v>1150</v>
          </cell>
          <cell r="E932">
            <v>12600</v>
          </cell>
          <cell r="F932">
            <v>9.1</v>
          </cell>
          <cell r="G932">
            <v>12590</v>
          </cell>
          <cell r="H932">
            <v>11340</v>
          </cell>
          <cell r="I932">
            <v>1250</v>
          </cell>
          <cell r="J932">
            <v>9.9515636875120528</v>
          </cell>
        </row>
        <row r="933">
          <cell r="B933" t="str">
            <v>CN5303108</v>
          </cell>
          <cell r="C933" t="str">
            <v/>
          </cell>
          <cell r="D933" t="str">
            <v/>
          </cell>
          <cell r="E933" t="e">
            <v>#VALUE!</v>
          </cell>
          <cell r="F933" t="str">
            <v/>
          </cell>
          <cell r="G933" t="str">
            <v/>
          </cell>
          <cell r="H933" t="str">
            <v/>
          </cell>
          <cell r="I933" t="str">
            <v/>
          </cell>
          <cell r="J933" t="str">
            <v/>
          </cell>
        </row>
        <row r="934">
          <cell r="B934" t="str">
            <v>CN5303109</v>
          </cell>
          <cell r="C934" t="str">
            <v/>
          </cell>
          <cell r="D934" t="str">
            <v/>
          </cell>
          <cell r="E934" t="e">
            <v>#VALUE!</v>
          </cell>
          <cell r="F934" t="str">
            <v/>
          </cell>
          <cell r="G934" t="str">
            <v/>
          </cell>
          <cell r="H934" t="str">
            <v/>
          </cell>
          <cell r="I934" t="str">
            <v/>
          </cell>
          <cell r="J934" t="str">
            <v/>
          </cell>
        </row>
        <row r="935">
          <cell r="B935" t="str">
            <v>CN53031010</v>
          </cell>
          <cell r="C935" t="str">
            <v/>
          </cell>
          <cell r="D935" t="str">
            <v/>
          </cell>
          <cell r="E935" t="e">
            <v>#VALUE!</v>
          </cell>
          <cell r="F935" t="str">
            <v/>
          </cell>
          <cell r="G935" t="str">
            <v/>
          </cell>
          <cell r="H935" t="str">
            <v/>
          </cell>
          <cell r="I935" t="str">
            <v/>
          </cell>
          <cell r="J935" t="str">
            <v/>
          </cell>
        </row>
        <row r="936">
          <cell r="B936" t="str">
            <v>CN53031011</v>
          </cell>
          <cell r="C936" t="str">
            <v/>
          </cell>
          <cell r="D936" t="str">
            <v/>
          </cell>
          <cell r="E936" t="e">
            <v>#VALUE!</v>
          </cell>
          <cell r="F936" t="str">
            <v/>
          </cell>
          <cell r="G936" t="str">
            <v/>
          </cell>
          <cell r="H936" t="str">
            <v/>
          </cell>
          <cell r="I936" t="str">
            <v/>
          </cell>
          <cell r="J936" t="str">
            <v/>
          </cell>
        </row>
        <row r="937">
          <cell r="B937" t="str">
            <v>CN53031012</v>
          </cell>
          <cell r="C937" t="str">
            <v/>
          </cell>
          <cell r="D937" t="str">
            <v/>
          </cell>
          <cell r="E937" t="e">
            <v>#VALUE!</v>
          </cell>
          <cell r="F937" t="str">
            <v/>
          </cell>
          <cell r="G937" t="str">
            <v/>
          </cell>
          <cell r="H937" t="str">
            <v/>
          </cell>
          <cell r="I937" t="str">
            <v/>
          </cell>
          <cell r="J937" t="str">
            <v/>
          </cell>
        </row>
        <row r="938">
          <cell r="B938" t="str">
            <v>CN5302301</v>
          </cell>
          <cell r="C938">
            <v>900</v>
          </cell>
          <cell r="D938">
            <v>90</v>
          </cell>
          <cell r="E938">
            <v>990</v>
          </cell>
          <cell r="F938">
            <v>9.4</v>
          </cell>
          <cell r="G938">
            <v>990</v>
          </cell>
          <cell r="H938">
            <v>900</v>
          </cell>
          <cell r="I938">
            <v>90</v>
          </cell>
          <cell r="J938">
            <v>9.4</v>
          </cell>
        </row>
        <row r="939">
          <cell r="B939" t="str">
            <v>CN5302302</v>
          </cell>
          <cell r="C939">
            <v>910</v>
          </cell>
          <cell r="D939">
            <v>90</v>
          </cell>
          <cell r="E939">
            <v>1000</v>
          </cell>
          <cell r="F939">
            <v>8.9</v>
          </cell>
          <cell r="G939">
            <v>1000</v>
          </cell>
          <cell r="H939">
            <v>910</v>
          </cell>
          <cell r="I939">
            <v>90</v>
          </cell>
          <cell r="J939">
            <v>9.1228070175438596</v>
          </cell>
        </row>
        <row r="940">
          <cell r="B940" t="str">
            <v>CN5302303</v>
          </cell>
          <cell r="C940">
            <v>930</v>
          </cell>
          <cell r="D940">
            <v>90</v>
          </cell>
          <cell r="E940">
            <v>1020</v>
          </cell>
          <cell r="F940">
            <v>8.5</v>
          </cell>
          <cell r="G940">
            <v>1000</v>
          </cell>
          <cell r="H940">
            <v>910</v>
          </cell>
          <cell r="I940">
            <v>90</v>
          </cell>
          <cell r="J940">
            <v>8.9155023286759807</v>
          </cell>
        </row>
        <row r="941">
          <cell r="B941" t="str">
            <v>CN5302304</v>
          </cell>
          <cell r="C941">
            <v>940</v>
          </cell>
          <cell r="D941">
            <v>70</v>
          </cell>
          <cell r="E941">
            <v>1010</v>
          </cell>
          <cell r="F941">
            <v>6.6</v>
          </cell>
          <cell r="G941">
            <v>1000</v>
          </cell>
          <cell r="H941">
            <v>920</v>
          </cell>
          <cell r="I941">
            <v>80</v>
          </cell>
          <cell r="J941">
            <v>8.3229504111637187</v>
          </cell>
        </row>
        <row r="942">
          <cell r="B942" t="str">
            <v>CN5302305</v>
          </cell>
          <cell r="C942">
            <v>940</v>
          </cell>
          <cell r="D942">
            <v>70</v>
          </cell>
          <cell r="E942">
            <v>1010</v>
          </cell>
          <cell r="F942">
            <v>6.8</v>
          </cell>
          <cell r="G942">
            <v>1000</v>
          </cell>
          <cell r="H942">
            <v>920</v>
          </cell>
          <cell r="I942">
            <v>80</v>
          </cell>
          <cell r="J942">
            <v>8.0111598246313278</v>
          </cell>
        </row>
        <row r="943">
          <cell r="B943" t="str">
            <v>CN5302306</v>
          </cell>
          <cell r="C943">
            <v>950</v>
          </cell>
          <cell r="D943">
            <v>80</v>
          </cell>
          <cell r="E943">
            <v>1030</v>
          </cell>
          <cell r="F943">
            <v>7.3</v>
          </cell>
          <cell r="G943">
            <v>1010</v>
          </cell>
          <cell r="H943">
            <v>930</v>
          </cell>
          <cell r="I943">
            <v>80</v>
          </cell>
          <cell r="J943">
            <v>7.8986587183308492</v>
          </cell>
        </row>
        <row r="944">
          <cell r="B944" t="str">
            <v>CN5302307</v>
          </cell>
          <cell r="C944">
            <v>980</v>
          </cell>
          <cell r="D944">
            <v>70</v>
          </cell>
          <cell r="E944">
            <v>1050</v>
          </cell>
          <cell r="F944">
            <v>6.4</v>
          </cell>
          <cell r="G944">
            <v>1010</v>
          </cell>
          <cell r="H944">
            <v>930</v>
          </cell>
          <cell r="I944">
            <v>80</v>
          </cell>
          <cell r="J944">
            <v>7.6814459192318552</v>
          </cell>
        </row>
        <row r="945">
          <cell r="B945" t="str">
            <v>CN5302308</v>
          </cell>
          <cell r="C945" t="str">
            <v/>
          </cell>
          <cell r="D945" t="str">
            <v/>
          </cell>
          <cell r="E945" t="e">
            <v>#VALUE!</v>
          </cell>
          <cell r="F945" t="str">
            <v/>
          </cell>
          <cell r="G945" t="str">
            <v/>
          </cell>
          <cell r="H945" t="str">
            <v/>
          </cell>
          <cell r="I945" t="str">
            <v/>
          </cell>
          <cell r="J945" t="str">
            <v/>
          </cell>
        </row>
        <row r="946">
          <cell r="B946" t="str">
            <v>CN5302309</v>
          </cell>
          <cell r="C946" t="str">
            <v/>
          </cell>
          <cell r="D946" t="str">
            <v/>
          </cell>
          <cell r="E946" t="e">
            <v>#VALUE!</v>
          </cell>
          <cell r="F946" t="str">
            <v/>
          </cell>
          <cell r="G946" t="str">
            <v/>
          </cell>
          <cell r="H946" t="str">
            <v/>
          </cell>
          <cell r="I946" t="str">
            <v/>
          </cell>
          <cell r="J946" t="str">
            <v/>
          </cell>
        </row>
        <row r="947">
          <cell r="B947" t="str">
            <v>CN53023010</v>
          </cell>
          <cell r="C947" t="str">
            <v/>
          </cell>
          <cell r="D947" t="str">
            <v/>
          </cell>
          <cell r="E947" t="e">
            <v>#VALUE!</v>
          </cell>
          <cell r="F947" t="str">
            <v/>
          </cell>
          <cell r="G947" t="str">
            <v/>
          </cell>
          <cell r="H947" t="str">
            <v/>
          </cell>
          <cell r="I947" t="str">
            <v/>
          </cell>
          <cell r="J947" t="str">
            <v/>
          </cell>
        </row>
        <row r="948">
          <cell r="B948" t="str">
            <v>CN53023011</v>
          </cell>
          <cell r="C948" t="str">
            <v/>
          </cell>
          <cell r="D948" t="str">
            <v/>
          </cell>
          <cell r="E948" t="e">
            <v>#VALUE!</v>
          </cell>
          <cell r="F948" t="str">
            <v/>
          </cell>
          <cell r="G948" t="str">
            <v/>
          </cell>
          <cell r="H948" t="str">
            <v/>
          </cell>
          <cell r="I948" t="str">
            <v/>
          </cell>
          <cell r="J948" t="str">
            <v/>
          </cell>
        </row>
        <row r="949">
          <cell r="B949" t="str">
            <v>CN53023012</v>
          </cell>
          <cell r="C949" t="str">
            <v/>
          </cell>
          <cell r="D949" t="str">
            <v/>
          </cell>
          <cell r="E949" t="e">
            <v>#VALUE!</v>
          </cell>
          <cell r="F949" t="str">
            <v/>
          </cell>
          <cell r="G949" t="str">
            <v/>
          </cell>
          <cell r="H949" t="str">
            <v/>
          </cell>
          <cell r="I949" t="str">
            <v/>
          </cell>
          <cell r="J949" t="str">
            <v/>
          </cell>
        </row>
        <row r="950">
          <cell r="B950" t="str">
            <v>CN5302101</v>
          </cell>
          <cell r="C950">
            <v>33850</v>
          </cell>
          <cell r="D950">
            <v>3900</v>
          </cell>
          <cell r="E950">
            <v>37750</v>
          </cell>
          <cell r="F950">
            <v>10.3</v>
          </cell>
          <cell r="G950">
            <v>37750</v>
          </cell>
          <cell r="H950">
            <v>33850</v>
          </cell>
          <cell r="I950">
            <v>3900</v>
          </cell>
          <cell r="J950">
            <v>10.3</v>
          </cell>
        </row>
        <row r="951">
          <cell r="B951" t="str">
            <v>CN5302102</v>
          </cell>
          <cell r="C951">
            <v>33970</v>
          </cell>
          <cell r="D951">
            <v>3670</v>
          </cell>
          <cell r="E951">
            <v>37640</v>
          </cell>
          <cell r="F951">
            <v>9.6999999999999993</v>
          </cell>
          <cell r="G951">
            <v>37700</v>
          </cell>
          <cell r="H951">
            <v>33910</v>
          </cell>
          <cell r="I951">
            <v>3780</v>
          </cell>
          <cell r="J951">
            <v>10.039659906354871</v>
          </cell>
        </row>
        <row r="952">
          <cell r="B952" t="str">
            <v>CN5302103</v>
          </cell>
          <cell r="C952">
            <v>34430</v>
          </cell>
          <cell r="D952">
            <v>3470</v>
          </cell>
          <cell r="E952">
            <v>37900</v>
          </cell>
          <cell r="F952">
            <v>9.1</v>
          </cell>
          <cell r="G952">
            <v>37760</v>
          </cell>
          <cell r="H952">
            <v>34080</v>
          </cell>
          <cell r="I952">
            <v>3680</v>
          </cell>
          <cell r="J952">
            <v>9.7402941332250492</v>
          </cell>
        </row>
        <row r="953">
          <cell r="B953" t="str">
            <v>CN5302104</v>
          </cell>
          <cell r="C953">
            <v>34530</v>
          </cell>
          <cell r="D953">
            <v>3040</v>
          </cell>
          <cell r="E953">
            <v>37570</v>
          </cell>
          <cell r="F953">
            <v>8.1</v>
          </cell>
          <cell r="G953">
            <v>37710</v>
          </cell>
          <cell r="H953">
            <v>34200</v>
          </cell>
          <cell r="I953">
            <v>3520</v>
          </cell>
          <cell r="J953">
            <v>9.3270225121310961</v>
          </cell>
        </row>
        <row r="954">
          <cell r="B954" t="str">
            <v>CN5302105</v>
          </cell>
          <cell r="C954">
            <v>34710</v>
          </cell>
          <cell r="D954">
            <v>3040</v>
          </cell>
          <cell r="E954">
            <v>37750</v>
          </cell>
          <cell r="F954">
            <v>8</v>
          </cell>
          <cell r="G954">
            <v>37720</v>
          </cell>
          <cell r="H954">
            <v>34300</v>
          </cell>
          <cell r="I954">
            <v>3420</v>
          </cell>
          <cell r="J954">
            <v>9.0707119981335786</v>
          </cell>
        </row>
        <row r="955">
          <cell r="B955" t="str">
            <v>CN5302106</v>
          </cell>
          <cell r="C955">
            <v>35980</v>
          </cell>
          <cell r="D955">
            <v>2980</v>
          </cell>
          <cell r="E955">
            <v>38960</v>
          </cell>
          <cell r="F955">
            <v>7.7</v>
          </cell>
          <cell r="G955">
            <v>37930</v>
          </cell>
          <cell r="H955">
            <v>34580</v>
          </cell>
          <cell r="I955">
            <v>3350</v>
          </cell>
          <cell r="J955">
            <v>8.8289578920538929</v>
          </cell>
        </row>
        <row r="956">
          <cell r="B956" t="str">
            <v>CN5302107</v>
          </cell>
          <cell r="C956">
            <v>35200</v>
          </cell>
          <cell r="D956">
            <v>2970</v>
          </cell>
          <cell r="E956">
            <v>38170</v>
          </cell>
          <cell r="F956">
            <v>7.8</v>
          </cell>
          <cell r="G956">
            <v>37960</v>
          </cell>
          <cell r="H956">
            <v>34670</v>
          </cell>
          <cell r="I956">
            <v>3290</v>
          </cell>
          <cell r="J956">
            <v>8.6765740779070253</v>
          </cell>
        </row>
        <row r="957">
          <cell r="B957" t="str">
            <v>CN5302108</v>
          </cell>
          <cell r="C957" t="str">
            <v/>
          </cell>
          <cell r="D957" t="str">
            <v/>
          </cell>
          <cell r="E957" t="e">
            <v>#VALUE!</v>
          </cell>
          <cell r="F957" t="str">
            <v/>
          </cell>
          <cell r="G957" t="str">
            <v/>
          </cell>
          <cell r="H957" t="str">
            <v/>
          </cell>
          <cell r="I957" t="str">
            <v/>
          </cell>
          <cell r="J957" t="str">
            <v/>
          </cell>
        </row>
        <row r="958">
          <cell r="B958" t="str">
            <v>CN5302109</v>
          </cell>
          <cell r="C958" t="str">
            <v/>
          </cell>
          <cell r="D958" t="str">
            <v/>
          </cell>
          <cell r="E958" t="e">
            <v>#VALUE!</v>
          </cell>
          <cell r="F958" t="str">
            <v/>
          </cell>
          <cell r="G958" t="str">
            <v/>
          </cell>
          <cell r="H958" t="str">
            <v/>
          </cell>
          <cell r="I958" t="str">
            <v/>
          </cell>
          <cell r="J958" t="str">
            <v/>
          </cell>
        </row>
        <row r="959">
          <cell r="B959" t="str">
            <v>CN53021010</v>
          </cell>
          <cell r="C959" t="str">
            <v/>
          </cell>
          <cell r="D959" t="str">
            <v/>
          </cell>
          <cell r="E959" t="e">
            <v>#VALUE!</v>
          </cell>
          <cell r="F959" t="str">
            <v/>
          </cell>
          <cell r="G959" t="str">
            <v/>
          </cell>
          <cell r="H959" t="str">
            <v/>
          </cell>
          <cell r="I959" t="str">
            <v/>
          </cell>
          <cell r="J959" t="str">
            <v/>
          </cell>
        </row>
        <row r="960">
          <cell r="B960" t="str">
            <v>CN53021011</v>
          </cell>
          <cell r="C960" t="str">
            <v/>
          </cell>
          <cell r="D960" t="str">
            <v/>
          </cell>
          <cell r="E960" t="e">
            <v>#VALUE!</v>
          </cell>
          <cell r="F960" t="str">
            <v/>
          </cell>
          <cell r="G960" t="str">
            <v/>
          </cell>
          <cell r="H960" t="str">
            <v/>
          </cell>
          <cell r="I960" t="str">
            <v/>
          </cell>
          <cell r="J960" t="str">
            <v/>
          </cell>
        </row>
        <row r="961">
          <cell r="B961" t="str">
            <v>CN53021012</v>
          </cell>
          <cell r="C961" t="str">
            <v/>
          </cell>
          <cell r="D961" t="str">
            <v/>
          </cell>
          <cell r="E961" t="e">
            <v>#VALUE!</v>
          </cell>
          <cell r="F961" t="str">
            <v/>
          </cell>
          <cell r="G961" t="str">
            <v/>
          </cell>
          <cell r="H961" t="str">
            <v/>
          </cell>
          <cell r="I961" t="str">
            <v/>
          </cell>
          <cell r="J961" t="str">
            <v/>
          </cell>
        </row>
        <row r="962">
          <cell r="B962" t="str">
            <v>CN5301901</v>
          </cell>
          <cell r="C962">
            <v>2550</v>
          </cell>
          <cell r="D962">
            <v>460</v>
          </cell>
          <cell r="E962">
            <v>3010</v>
          </cell>
          <cell r="F962">
            <v>15.3</v>
          </cell>
          <cell r="G962">
            <v>3010</v>
          </cell>
          <cell r="H962">
            <v>2550</v>
          </cell>
          <cell r="I962">
            <v>460</v>
          </cell>
          <cell r="J962">
            <v>15.3</v>
          </cell>
        </row>
        <row r="963">
          <cell r="B963" t="str">
            <v>CN5301902</v>
          </cell>
          <cell r="C963">
            <v>2540</v>
          </cell>
          <cell r="D963">
            <v>490</v>
          </cell>
          <cell r="E963">
            <v>3030</v>
          </cell>
          <cell r="F963">
            <v>16.2</v>
          </cell>
          <cell r="G963">
            <v>3020</v>
          </cell>
          <cell r="H963">
            <v>2540</v>
          </cell>
          <cell r="I963">
            <v>470</v>
          </cell>
          <cell r="J963">
            <v>15.727543917799139</v>
          </cell>
        </row>
        <row r="964">
          <cell r="B964" t="str">
            <v>CN5301903</v>
          </cell>
          <cell r="C964">
            <v>2510</v>
          </cell>
          <cell r="D964">
            <v>490</v>
          </cell>
          <cell r="E964">
            <v>3000</v>
          </cell>
          <cell r="F964">
            <v>16.399999999999999</v>
          </cell>
          <cell r="G964">
            <v>3010</v>
          </cell>
          <cell r="H964">
            <v>2530</v>
          </cell>
          <cell r="I964">
            <v>480</v>
          </cell>
          <cell r="J964">
            <v>15.94555715392276</v>
          </cell>
        </row>
        <row r="965">
          <cell r="B965" t="str">
            <v>CN5301904</v>
          </cell>
          <cell r="C965">
            <v>2540</v>
          </cell>
          <cell r="D965">
            <v>420</v>
          </cell>
          <cell r="E965">
            <v>2960</v>
          </cell>
          <cell r="F965">
            <v>14.2</v>
          </cell>
          <cell r="G965">
            <v>3000</v>
          </cell>
          <cell r="H965">
            <v>2530</v>
          </cell>
          <cell r="I965">
            <v>470</v>
          </cell>
          <cell r="J965">
            <v>15.509625802150179</v>
          </cell>
        </row>
        <row r="966">
          <cell r="B966" t="str">
            <v>CN5301905</v>
          </cell>
          <cell r="C966">
            <v>2630</v>
          </cell>
          <cell r="D966">
            <v>400</v>
          </cell>
          <cell r="E966">
            <v>3030</v>
          </cell>
          <cell r="F966">
            <v>13.3</v>
          </cell>
          <cell r="G966">
            <v>3010</v>
          </cell>
          <cell r="H966">
            <v>2550</v>
          </cell>
          <cell r="I966">
            <v>450</v>
          </cell>
          <cell r="J966">
            <v>15.057196062782657</v>
          </cell>
        </row>
        <row r="967">
          <cell r="B967" t="str">
            <v>CN5301906</v>
          </cell>
          <cell r="C967">
            <v>2680</v>
          </cell>
          <cell r="D967">
            <v>390</v>
          </cell>
          <cell r="E967">
            <v>3070</v>
          </cell>
          <cell r="F967">
            <v>12.6</v>
          </cell>
          <cell r="G967">
            <v>3020</v>
          </cell>
          <cell r="H967">
            <v>2580</v>
          </cell>
          <cell r="I967">
            <v>440</v>
          </cell>
          <cell r="J967">
            <v>14.647078316580139</v>
          </cell>
        </row>
        <row r="968">
          <cell r="B968" t="str">
            <v>CN5301907</v>
          </cell>
          <cell r="C968">
            <v>2620</v>
          </cell>
          <cell r="D968">
            <v>390</v>
          </cell>
          <cell r="E968">
            <v>3010</v>
          </cell>
          <cell r="F968">
            <v>12.9</v>
          </cell>
          <cell r="G968">
            <v>3020</v>
          </cell>
          <cell r="H968">
            <v>2580</v>
          </cell>
          <cell r="I968">
            <v>430</v>
          </cell>
          <cell r="J968">
            <v>14.403448112537298</v>
          </cell>
        </row>
        <row r="969">
          <cell r="B969" t="str">
            <v>CN5301908</v>
          </cell>
          <cell r="C969" t="str">
            <v/>
          </cell>
          <cell r="D969" t="str">
            <v/>
          </cell>
          <cell r="E969" t="e">
            <v>#VALUE!</v>
          </cell>
          <cell r="F969" t="str">
            <v/>
          </cell>
          <cell r="G969" t="str">
            <v/>
          </cell>
          <cell r="H969" t="str">
            <v/>
          </cell>
          <cell r="I969" t="str">
            <v/>
          </cell>
          <cell r="J969" t="str">
            <v/>
          </cell>
        </row>
        <row r="970">
          <cell r="B970" t="str">
            <v>CN5301909</v>
          </cell>
          <cell r="C970" t="str">
            <v/>
          </cell>
          <cell r="D970" t="str">
            <v/>
          </cell>
          <cell r="E970" t="e">
            <v>#VALUE!</v>
          </cell>
          <cell r="F970" t="str">
            <v/>
          </cell>
          <cell r="G970" t="str">
            <v/>
          </cell>
          <cell r="H970" t="str">
            <v/>
          </cell>
          <cell r="I970" t="str">
            <v/>
          </cell>
          <cell r="J970" t="str">
            <v/>
          </cell>
        </row>
        <row r="971">
          <cell r="B971" t="str">
            <v>CN53019010</v>
          </cell>
          <cell r="C971" t="str">
            <v/>
          </cell>
          <cell r="D971" t="str">
            <v/>
          </cell>
          <cell r="E971" t="e">
            <v>#VALUE!</v>
          </cell>
          <cell r="F971" t="str">
            <v/>
          </cell>
          <cell r="G971" t="str">
            <v/>
          </cell>
          <cell r="H971" t="str">
            <v/>
          </cell>
          <cell r="I971" t="str">
            <v/>
          </cell>
          <cell r="J971" t="str">
            <v/>
          </cell>
        </row>
        <row r="972">
          <cell r="B972" t="str">
            <v>CN53019011</v>
          </cell>
          <cell r="C972" t="str">
            <v/>
          </cell>
          <cell r="D972" t="str">
            <v/>
          </cell>
          <cell r="E972" t="e">
            <v>#VALUE!</v>
          </cell>
          <cell r="F972" t="str">
            <v/>
          </cell>
          <cell r="G972" t="str">
            <v/>
          </cell>
          <cell r="H972" t="str">
            <v/>
          </cell>
          <cell r="I972" t="str">
            <v/>
          </cell>
          <cell r="J972" t="str">
            <v/>
          </cell>
        </row>
        <row r="973">
          <cell r="B973" t="str">
            <v>CN53019012</v>
          </cell>
          <cell r="C973" t="str">
            <v/>
          </cell>
          <cell r="D973" t="str">
            <v/>
          </cell>
          <cell r="E973" t="e">
            <v>#VALUE!</v>
          </cell>
          <cell r="F973" t="str">
            <v/>
          </cell>
          <cell r="G973" t="str">
            <v/>
          </cell>
          <cell r="H973" t="str">
            <v/>
          </cell>
          <cell r="I973" t="str">
            <v/>
          </cell>
          <cell r="J973" t="str">
            <v/>
          </cell>
        </row>
        <row r="974">
          <cell r="B974" t="str">
            <v>CN5301701</v>
          </cell>
          <cell r="C974">
            <v>18650</v>
          </cell>
          <cell r="D974">
            <v>2020</v>
          </cell>
          <cell r="E974">
            <v>20670</v>
          </cell>
          <cell r="F974">
            <v>9.8000000000000007</v>
          </cell>
          <cell r="G974">
            <v>20670</v>
          </cell>
          <cell r="H974">
            <v>18650</v>
          </cell>
          <cell r="I974">
            <v>2020</v>
          </cell>
          <cell r="J974">
            <v>9.8000000000000007</v>
          </cell>
        </row>
        <row r="975">
          <cell r="B975" t="str">
            <v>CN5301702</v>
          </cell>
          <cell r="C975">
            <v>18850</v>
          </cell>
          <cell r="D975">
            <v>1990</v>
          </cell>
          <cell r="E975">
            <v>20840</v>
          </cell>
          <cell r="F975">
            <v>9.5</v>
          </cell>
          <cell r="G975">
            <v>20750</v>
          </cell>
          <cell r="H975">
            <v>18750</v>
          </cell>
          <cell r="I975">
            <v>2000</v>
          </cell>
          <cell r="J975">
            <v>9.6474953617810755</v>
          </cell>
        </row>
        <row r="976">
          <cell r="B976" t="str">
            <v>CN5301703</v>
          </cell>
          <cell r="C976">
            <v>19090</v>
          </cell>
          <cell r="D976">
            <v>1910</v>
          </cell>
          <cell r="E976">
            <v>21000</v>
          </cell>
          <cell r="F976">
            <v>9.1</v>
          </cell>
          <cell r="G976">
            <v>20830</v>
          </cell>
          <cell r="H976">
            <v>18860</v>
          </cell>
          <cell r="I976">
            <v>1970</v>
          </cell>
          <cell r="J976">
            <v>9.4558487064206975</v>
          </cell>
        </row>
        <row r="977">
          <cell r="B977" t="str">
            <v>CN5301704</v>
          </cell>
          <cell r="C977">
            <v>18720</v>
          </cell>
          <cell r="D977">
            <v>1650</v>
          </cell>
          <cell r="E977">
            <v>20370</v>
          </cell>
          <cell r="F977">
            <v>8.1</v>
          </cell>
          <cell r="G977">
            <v>20720</v>
          </cell>
          <cell r="H977">
            <v>18830</v>
          </cell>
          <cell r="I977">
            <v>1890</v>
          </cell>
          <cell r="J977">
            <v>9.126012090789521</v>
          </cell>
        </row>
        <row r="978">
          <cell r="B978" t="str">
            <v>CN5301705</v>
          </cell>
          <cell r="C978">
            <v>18990</v>
          </cell>
          <cell r="D978">
            <v>1640</v>
          </cell>
          <cell r="E978">
            <v>20630</v>
          </cell>
          <cell r="F978">
            <v>8</v>
          </cell>
          <cell r="G978">
            <v>20700</v>
          </cell>
          <cell r="H978">
            <v>18860</v>
          </cell>
          <cell r="I978">
            <v>1840</v>
          </cell>
          <cell r="J978">
            <v>8.891787439613525</v>
          </cell>
        </row>
        <row r="979">
          <cell r="B979" t="str">
            <v>CN5301706</v>
          </cell>
          <cell r="C979">
            <v>21700</v>
          </cell>
          <cell r="D979">
            <v>1670</v>
          </cell>
          <cell r="E979">
            <v>23370</v>
          </cell>
          <cell r="F979">
            <v>7.1</v>
          </cell>
          <cell r="G979">
            <v>21150</v>
          </cell>
          <cell r="H979">
            <v>19330</v>
          </cell>
          <cell r="I979">
            <v>1810</v>
          </cell>
          <cell r="J979">
            <v>8.5691991203802242</v>
          </cell>
        </row>
        <row r="980">
          <cell r="B980" t="str">
            <v>CN5301707</v>
          </cell>
          <cell r="C980">
            <v>24120</v>
          </cell>
          <cell r="D980">
            <v>1560</v>
          </cell>
          <cell r="E980">
            <v>25680</v>
          </cell>
          <cell r="F980">
            <v>6.1</v>
          </cell>
          <cell r="G980">
            <v>21790</v>
          </cell>
          <cell r="H980">
            <v>20020</v>
          </cell>
          <cell r="I980">
            <v>1780</v>
          </cell>
          <cell r="J980">
            <v>8.1519744087262058</v>
          </cell>
        </row>
        <row r="981">
          <cell r="B981" t="str">
            <v>CN5301708</v>
          </cell>
          <cell r="C981" t="str">
            <v/>
          </cell>
          <cell r="D981" t="str">
            <v/>
          </cell>
          <cell r="E981" t="e">
            <v>#VALUE!</v>
          </cell>
          <cell r="F981" t="str">
            <v/>
          </cell>
          <cell r="G981" t="str">
            <v/>
          </cell>
          <cell r="H981" t="str">
            <v/>
          </cell>
          <cell r="I981" t="str">
            <v/>
          </cell>
          <cell r="J981" t="str">
            <v/>
          </cell>
        </row>
        <row r="982">
          <cell r="B982" t="str">
            <v>CN5301709</v>
          </cell>
          <cell r="C982" t="str">
            <v/>
          </cell>
          <cell r="D982" t="str">
            <v/>
          </cell>
          <cell r="E982" t="e">
            <v>#VALUE!</v>
          </cell>
          <cell r="F982" t="str">
            <v/>
          </cell>
          <cell r="G982" t="str">
            <v/>
          </cell>
          <cell r="H982" t="str">
            <v/>
          </cell>
          <cell r="I982" t="str">
            <v/>
          </cell>
          <cell r="J982" t="str">
            <v/>
          </cell>
        </row>
        <row r="983">
          <cell r="B983" t="str">
            <v>CN53017010</v>
          </cell>
          <cell r="C983" t="str">
            <v/>
          </cell>
          <cell r="D983" t="str">
            <v/>
          </cell>
          <cell r="E983" t="e">
            <v>#VALUE!</v>
          </cell>
          <cell r="F983" t="str">
            <v/>
          </cell>
          <cell r="G983" t="str">
            <v/>
          </cell>
          <cell r="H983" t="str">
            <v/>
          </cell>
          <cell r="I983" t="str">
            <v/>
          </cell>
          <cell r="J983" t="str">
            <v/>
          </cell>
        </row>
        <row r="984">
          <cell r="B984" t="str">
            <v>CN53017011</v>
          </cell>
          <cell r="C984" t="str">
            <v/>
          </cell>
          <cell r="D984" t="str">
            <v/>
          </cell>
          <cell r="E984" t="e">
            <v>#VALUE!</v>
          </cell>
          <cell r="F984" t="str">
            <v/>
          </cell>
          <cell r="G984" t="str">
            <v/>
          </cell>
          <cell r="H984" t="str">
            <v/>
          </cell>
          <cell r="I984" t="str">
            <v/>
          </cell>
          <cell r="J984" t="str">
            <v/>
          </cell>
        </row>
        <row r="985">
          <cell r="B985" t="str">
            <v>CN53017012</v>
          </cell>
          <cell r="C985" t="str">
            <v/>
          </cell>
          <cell r="D985" t="str">
            <v/>
          </cell>
          <cell r="E985" t="e">
            <v>#VALUE!</v>
          </cell>
          <cell r="F985" t="str">
            <v/>
          </cell>
          <cell r="G985" t="str">
            <v/>
          </cell>
          <cell r="H985" t="str">
            <v/>
          </cell>
          <cell r="I985" t="str">
            <v/>
          </cell>
          <cell r="J985" t="str">
            <v/>
          </cell>
        </row>
        <row r="986">
          <cell r="B986" t="str">
            <v>CN5301301</v>
          </cell>
          <cell r="C986">
            <v>1360</v>
          </cell>
          <cell r="D986">
            <v>200</v>
          </cell>
          <cell r="E986">
            <v>1560</v>
          </cell>
          <cell r="F986">
            <v>12.6</v>
          </cell>
          <cell r="G986">
            <v>1550</v>
          </cell>
          <cell r="H986">
            <v>1360</v>
          </cell>
          <cell r="I986">
            <v>200</v>
          </cell>
          <cell r="J986">
            <v>12.6</v>
          </cell>
        </row>
        <row r="987">
          <cell r="B987" t="str">
            <v>CN5301302</v>
          </cell>
          <cell r="C987">
            <v>1360</v>
          </cell>
          <cell r="D987">
            <v>190</v>
          </cell>
          <cell r="E987">
            <v>1550</v>
          </cell>
          <cell r="F987">
            <v>12.3</v>
          </cell>
          <cell r="G987">
            <v>1550</v>
          </cell>
          <cell r="H987">
            <v>1360</v>
          </cell>
          <cell r="I987">
            <v>190</v>
          </cell>
          <cell r="J987">
            <v>12.435567010309278</v>
          </cell>
        </row>
        <row r="988">
          <cell r="B988" t="str">
            <v>CN5301303</v>
          </cell>
          <cell r="C988">
            <v>1370</v>
          </cell>
          <cell r="D988">
            <v>200</v>
          </cell>
          <cell r="E988">
            <v>1570</v>
          </cell>
          <cell r="F988">
            <v>12.6</v>
          </cell>
          <cell r="G988">
            <v>1560</v>
          </cell>
          <cell r="H988">
            <v>1360</v>
          </cell>
          <cell r="I988">
            <v>190</v>
          </cell>
          <cell r="J988">
            <v>12.486613835939174</v>
          </cell>
        </row>
        <row r="989">
          <cell r="B989" t="str">
            <v>CN5301304</v>
          </cell>
          <cell r="C989">
            <v>1340</v>
          </cell>
          <cell r="D989">
            <v>170</v>
          </cell>
          <cell r="E989">
            <v>1510</v>
          </cell>
          <cell r="F989">
            <v>11.2</v>
          </cell>
          <cell r="G989">
            <v>1550</v>
          </cell>
          <cell r="H989">
            <v>1360</v>
          </cell>
          <cell r="I989">
            <v>190</v>
          </cell>
          <cell r="J989">
            <v>12.180524102232287</v>
          </cell>
        </row>
        <row r="990">
          <cell r="B990" t="str">
            <v>CN5301305</v>
          </cell>
          <cell r="C990">
            <v>1350</v>
          </cell>
          <cell r="D990">
            <v>170</v>
          </cell>
          <cell r="E990">
            <v>1520</v>
          </cell>
          <cell r="F990">
            <v>11</v>
          </cell>
          <cell r="G990">
            <v>1540</v>
          </cell>
          <cell r="H990">
            <v>1360</v>
          </cell>
          <cell r="I990">
            <v>180</v>
          </cell>
          <cell r="J990">
            <v>11.949603844655151</v>
          </cell>
        </row>
        <row r="991">
          <cell r="B991" t="str">
            <v>CN5301306</v>
          </cell>
          <cell r="C991">
            <v>1370</v>
          </cell>
          <cell r="D991">
            <v>170</v>
          </cell>
          <cell r="E991">
            <v>1540</v>
          </cell>
          <cell r="F991">
            <v>11.3</v>
          </cell>
          <cell r="G991">
            <v>1540</v>
          </cell>
          <cell r="H991">
            <v>1360</v>
          </cell>
          <cell r="I991">
            <v>180</v>
          </cell>
          <cell r="J991">
            <v>11.842390127733275</v>
          </cell>
        </row>
        <row r="992">
          <cell r="B992" t="str">
            <v>CN5301307</v>
          </cell>
          <cell r="C992">
            <v>1330</v>
          </cell>
          <cell r="D992">
            <v>150</v>
          </cell>
          <cell r="E992">
            <v>1480</v>
          </cell>
          <cell r="F992">
            <v>10.199999999999999</v>
          </cell>
          <cell r="G992">
            <v>1530</v>
          </cell>
          <cell r="H992">
            <v>1350</v>
          </cell>
          <cell r="I992">
            <v>180</v>
          </cell>
          <cell r="J992">
            <v>11.612722693778565</v>
          </cell>
        </row>
        <row r="993">
          <cell r="B993" t="str">
            <v>CN5301308</v>
          </cell>
          <cell r="C993" t="str">
            <v/>
          </cell>
          <cell r="D993" t="str">
            <v/>
          </cell>
          <cell r="E993" t="e">
            <v>#VALUE!</v>
          </cell>
          <cell r="F993" t="str">
            <v/>
          </cell>
          <cell r="G993" t="str">
            <v/>
          </cell>
          <cell r="H993" t="str">
            <v/>
          </cell>
          <cell r="I993" t="str">
            <v/>
          </cell>
          <cell r="J993" t="str">
            <v/>
          </cell>
        </row>
        <row r="994">
          <cell r="B994" t="str">
            <v>CN5301309</v>
          </cell>
          <cell r="C994" t="str">
            <v/>
          </cell>
          <cell r="D994" t="str">
            <v/>
          </cell>
          <cell r="E994" t="e">
            <v>#VALUE!</v>
          </cell>
          <cell r="F994" t="str">
            <v/>
          </cell>
          <cell r="G994" t="str">
            <v/>
          </cell>
          <cell r="H994" t="str">
            <v/>
          </cell>
          <cell r="I994" t="str">
            <v/>
          </cell>
          <cell r="J994" t="str">
            <v/>
          </cell>
        </row>
        <row r="995">
          <cell r="B995" t="str">
            <v>CN53013010</v>
          </cell>
          <cell r="C995" t="str">
            <v/>
          </cell>
          <cell r="D995" t="str">
            <v/>
          </cell>
          <cell r="E995" t="e">
            <v>#VALUE!</v>
          </cell>
          <cell r="F995" t="str">
            <v/>
          </cell>
          <cell r="G995" t="str">
            <v/>
          </cell>
          <cell r="H995" t="str">
            <v/>
          </cell>
          <cell r="I995" t="str">
            <v/>
          </cell>
          <cell r="J995" t="str">
            <v/>
          </cell>
        </row>
        <row r="996">
          <cell r="B996" t="str">
            <v>CN53013011</v>
          </cell>
          <cell r="C996" t="str">
            <v/>
          </cell>
          <cell r="D996" t="str">
            <v/>
          </cell>
          <cell r="E996" t="e">
            <v>#VALUE!</v>
          </cell>
          <cell r="F996" t="str">
            <v/>
          </cell>
          <cell r="G996" t="str">
            <v/>
          </cell>
          <cell r="H996" t="str">
            <v/>
          </cell>
          <cell r="I996" t="str">
            <v/>
          </cell>
          <cell r="J996" t="str">
            <v/>
          </cell>
        </row>
        <row r="997">
          <cell r="B997" t="str">
            <v>CN53013012</v>
          </cell>
          <cell r="C997" t="str">
            <v/>
          </cell>
          <cell r="D997" t="str">
            <v/>
          </cell>
          <cell r="E997" t="e">
            <v>#VALUE!</v>
          </cell>
          <cell r="F997" t="str">
            <v/>
          </cell>
          <cell r="G997" t="str">
            <v/>
          </cell>
          <cell r="H997" t="str">
            <v/>
          </cell>
          <cell r="I997" t="str">
            <v/>
          </cell>
          <cell r="J997" t="str">
            <v/>
          </cell>
        </row>
        <row r="998">
          <cell r="B998" t="str">
            <v>CN5301101</v>
          </cell>
          <cell r="C998">
            <v>189680</v>
          </cell>
          <cell r="D998">
            <v>28960</v>
          </cell>
          <cell r="E998">
            <v>218640</v>
          </cell>
          <cell r="F998">
            <v>13.2</v>
          </cell>
          <cell r="G998">
            <v>218640</v>
          </cell>
          <cell r="H998">
            <v>189680</v>
          </cell>
          <cell r="I998">
            <v>28960</v>
          </cell>
          <cell r="J998">
            <v>13.2</v>
          </cell>
        </row>
        <row r="999">
          <cell r="B999" t="str">
            <v>CN5301102</v>
          </cell>
          <cell r="C999">
            <v>190380</v>
          </cell>
          <cell r="D999">
            <v>28200</v>
          </cell>
          <cell r="E999">
            <v>218580</v>
          </cell>
          <cell r="F999">
            <v>12.9</v>
          </cell>
          <cell r="G999">
            <v>218610</v>
          </cell>
          <cell r="H999">
            <v>190030</v>
          </cell>
          <cell r="I999">
            <v>28580</v>
          </cell>
          <cell r="J999">
            <v>13.074474070617942</v>
          </cell>
        </row>
        <row r="1000">
          <cell r="B1000" t="str">
            <v>CN5301103</v>
          </cell>
          <cell r="C1000">
            <v>189850</v>
          </cell>
          <cell r="D1000">
            <v>28340</v>
          </cell>
          <cell r="E1000">
            <v>218190</v>
          </cell>
          <cell r="F1000">
            <v>13</v>
          </cell>
          <cell r="G1000">
            <v>218470</v>
          </cell>
          <cell r="H1000">
            <v>189970</v>
          </cell>
          <cell r="I1000">
            <v>28500</v>
          </cell>
          <cell r="J1000">
            <v>13.045587770839024</v>
          </cell>
        </row>
        <row r="1001">
          <cell r="B1001" t="str">
            <v>CN5301104</v>
          </cell>
          <cell r="C1001">
            <v>189850</v>
          </cell>
          <cell r="D1001">
            <v>27780</v>
          </cell>
          <cell r="E1001">
            <v>217630</v>
          </cell>
          <cell r="F1001">
            <v>12.8</v>
          </cell>
          <cell r="G1001">
            <v>218260</v>
          </cell>
          <cell r="H1001">
            <v>189940</v>
          </cell>
          <cell r="I1001">
            <v>28320</v>
          </cell>
          <cell r="J1001">
            <v>12.975445822628512</v>
          </cell>
        </row>
        <row r="1002">
          <cell r="B1002" t="str">
            <v>CN5301105</v>
          </cell>
          <cell r="C1002">
            <v>190330</v>
          </cell>
          <cell r="D1002">
            <v>27740</v>
          </cell>
          <cell r="E1002">
            <v>218070</v>
          </cell>
          <cell r="F1002">
            <v>12.7</v>
          </cell>
          <cell r="G1002">
            <v>218220</v>
          </cell>
          <cell r="H1002">
            <v>190020</v>
          </cell>
          <cell r="I1002">
            <v>28200</v>
          </cell>
          <cell r="J1002">
            <v>12.924266669599438</v>
          </cell>
        </row>
        <row r="1003">
          <cell r="B1003" t="str">
            <v>CN5301106</v>
          </cell>
          <cell r="C1003">
            <v>187500</v>
          </cell>
          <cell r="D1003">
            <v>26380</v>
          </cell>
          <cell r="E1003">
            <v>213880</v>
          </cell>
          <cell r="F1003">
            <v>12.3</v>
          </cell>
          <cell r="G1003">
            <v>217500</v>
          </cell>
          <cell r="H1003">
            <v>189600</v>
          </cell>
          <cell r="I1003">
            <v>27900</v>
          </cell>
          <cell r="J1003">
            <v>12.827482097632558</v>
          </cell>
        </row>
        <row r="1004">
          <cell r="B1004" t="str">
            <v>CN5301107</v>
          </cell>
          <cell r="C1004">
            <v>183510</v>
          </cell>
          <cell r="D1004">
            <v>20640</v>
          </cell>
          <cell r="E1004">
            <v>204150</v>
          </cell>
          <cell r="F1004">
            <v>10.1</v>
          </cell>
          <cell r="G1004">
            <v>215590</v>
          </cell>
          <cell r="H1004">
            <v>188730</v>
          </cell>
          <cell r="I1004">
            <v>26860</v>
          </cell>
          <cell r="J1004">
            <v>12.459869767663761</v>
          </cell>
        </row>
        <row r="1005">
          <cell r="B1005" t="str">
            <v>CN5301108</v>
          </cell>
          <cell r="C1005" t="str">
            <v/>
          </cell>
          <cell r="D1005" t="str">
            <v/>
          </cell>
          <cell r="E1005" t="e">
            <v>#VALUE!</v>
          </cell>
          <cell r="F1005" t="str">
            <v/>
          </cell>
          <cell r="G1005" t="str">
            <v/>
          </cell>
          <cell r="H1005" t="str">
            <v/>
          </cell>
          <cell r="I1005" t="str">
            <v/>
          </cell>
          <cell r="J1005" t="str">
            <v/>
          </cell>
        </row>
        <row r="1006">
          <cell r="B1006" t="str">
            <v>CN5301109</v>
          </cell>
          <cell r="C1006" t="str">
            <v/>
          </cell>
          <cell r="D1006" t="str">
            <v/>
          </cell>
          <cell r="E1006" t="e">
            <v>#VALUE!</v>
          </cell>
          <cell r="F1006" t="str">
            <v/>
          </cell>
          <cell r="G1006" t="str">
            <v/>
          </cell>
          <cell r="H1006" t="str">
            <v/>
          </cell>
          <cell r="I1006" t="str">
            <v/>
          </cell>
          <cell r="J1006" t="str">
            <v/>
          </cell>
        </row>
        <row r="1007">
          <cell r="B1007" t="str">
            <v>CN53011010</v>
          </cell>
          <cell r="C1007" t="str">
            <v/>
          </cell>
          <cell r="D1007" t="str">
            <v/>
          </cell>
          <cell r="E1007" t="e">
            <v>#VALUE!</v>
          </cell>
          <cell r="F1007" t="str">
            <v/>
          </cell>
          <cell r="G1007" t="str">
            <v/>
          </cell>
          <cell r="H1007" t="str">
            <v/>
          </cell>
          <cell r="I1007" t="str">
            <v/>
          </cell>
          <cell r="J1007" t="str">
            <v/>
          </cell>
        </row>
        <row r="1008">
          <cell r="B1008" t="str">
            <v>CN53011011</v>
          </cell>
          <cell r="C1008" t="str">
            <v/>
          </cell>
          <cell r="D1008" t="str">
            <v/>
          </cell>
          <cell r="E1008" t="e">
            <v>#VALUE!</v>
          </cell>
          <cell r="F1008" t="str">
            <v/>
          </cell>
          <cell r="G1008" t="str">
            <v/>
          </cell>
          <cell r="H1008" t="str">
            <v/>
          </cell>
          <cell r="I1008" t="str">
            <v/>
          </cell>
          <cell r="J1008" t="str">
            <v/>
          </cell>
        </row>
        <row r="1009">
          <cell r="B1009" t="str">
            <v>CN53011012</v>
          </cell>
          <cell r="C1009" t="str">
            <v/>
          </cell>
          <cell r="D1009" t="str">
            <v/>
          </cell>
          <cell r="E1009" t="e">
            <v>#VALUE!</v>
          </cell>
          <cell r="F1009" t="str">
            <v/>
          </cell>
          <cell r="G1009" t="str">
            <v/>
          </cell>
          <cell r="H1009" t="str">
            <v/>
          </cell>
          <cell r="I1009" t="str">
            <v/>
          </cell>
          <cell r="J1009" t="str">
            <v/>
          </cell>
        </row>
        <row r="1010">
          <cell r="B1010" t="str">
            <v>CN5300701</v>
          </cell>
          <cell r="C1010">
            <v>35410</v>
          </cell>
          <cell r="D1010">
            <v>3910</v>
          </cell>
          <cell r="E1010">
            <v>39320</v>
          </cell>
          <cell r="F1010">
            <v>9.9</v>
          </cell>
          <cell r="G1010">
            <v>39320</v>
          </cell>
          <cell r="H1010">
            <v>35410</v>
          </cell>
          <cell r="I1010">
            <v>3910</v>
          </cell>
          <cell r="J1010">
            <v>9.9</v>
          </cell>
        </row>
        <row r="1011">
          <cell r="B1011" t="str">
            <v>CN5300702</v>
          </cell>
          <cell r="C1011">
            <v>35780</v>
          </cell>
          <cell r="D1011">
            <v>3880</v>
          </cell>
          <cell r="E1011">
            <v>39660</v>
          </cell>
          <cell r="F1011">
            <v>9.8000000000000007</v>
          </cell>
          <cell r="G1011">
            <v>39490</v>
          </cell>
          <cell r="H1011">
            <v>35600</v>
          </cell>
          <cell r="I1011">
            <v>3900</v>
          </cell>
          <cell r="J1011">
            <v>9.8642728723000168</v>
          </cell>
        </row>
        <row r="1012">
          <cell r="B1012" t="str">
            <v>CN5300703</v>
          </cell>
          <cell r="C1012">
            <v>36250</v>
          </cell>
          <cell r="D1012">
            <v>3840</v>
          </cell>
          <cell r="E1012">
            <v>40090</v>
          </cell>
          <cell r="F1012">
            <v>9.6</v>
          </cell>
          <cell r="G1012">
            <v>39690</v>
          </cell>
          <cell r="H1012">
            <v>35810</v>
          </cell>
          <cell r="I1012">
            <v>3880</v>
          </cell>
          <cell r="J1012">
            <v>9.7667699698489088</v>
          </cell>
        </row>
        <row r="1013">
          <cell r="B1013" t="str">
            <v>CN5300704</v>
          </cell>
          <cell r="C1013">
            <v>35540</v>
          </cell>
          <cell r="D1013">
            <v>3460</v>
          </cell>
          <cell r="E1013">
            <v>39000</v>
          </cell>
          <cell r="F1013">
            <v>8.9</v>
          </cell>
          <cell r="G1013">
            <v>39520</v>
          </cell>
          <cell r="H1013">
            <v>35740</v>
          </cell>
          <cell r="I1013">
            <v>3770</v>
          </cell>
          <cell r="J1013">
            <v>9.5449886753299342</v>
          </cell>
        </row>
        <row r="1014">
          <cell r="B1014" t="str">
            <v>CN5300705</v>
          </cell>
          <cell r="C1014">
            <v>36050</v>
          </cell>
          <cell r="D1014">
            <v>3510</v>
          </cell>
          <cell r="E1014">
            <v>39560</v>
          </cell>
          <cell r="F1014">
            <v>8.9</v>
          </cell>
          <cell r="G1014">
            <v>39520</v>
          </cell>
          <cell r="H1014">
            <v>35800</v>
          </cell>
          <cell r="I1014">
            <v>3720</v>
          </cell>
          <cell r="J1014">
            <v>9.4110384122984119</v>
          </cell>
        </row>
        <row r="1015">
          <cell r="B1015" t="str">
            <v>CN5300706</v>
          </cell>
          <cell r="C1015">
            <v>41210</v>
          </cell>
          <cell r="D1015">
            <v>3370</v>
          </cell>
          <cell r="E1015">
            <v>44580</v>
          </cell>
          <cell r="F1015">
            <v>7.6</v>
          </cell>
          <cell r="G1015">
            <v>40370</v>
          </cell>
          <cell r="H1015">
            <v>36700</v>
          </cell>
          <cell r="I1015">
            <v>3660</v>
          </cell>
          <cell r="J1015">
            <v>9.0719163659485211</v>
          </cell>
        </row>
        <row r="1016">
          <cell r="B1016" t="str">
            <v>CN5300707</v>
          </cell>
          <cell r="C1016">
            <v>45780</v>
          </cell>
          <cell r="D1016">
            <v>3050</v>
          </cell>
          <cell r="E1016">
            <v>48830</v>
          </cell>
          <cell r="F1016">
            <v>6.2</v>
          </cell>
          <cell r="G1016">
            <v>41580</v>
          </cell>
          <cell r="H1016">
            <v>38000</v>
          </cell>
          <cell r="I1016">
            <v>3570</v>
          </cell>
          <cell r="J1016">
            <v>8.5980531283608954</v>
          </cell>
        </row>
        <row r="1017">
          <cell r="B1017" t="str">
            <v>CN5300708</v>
          </cell>
          <cell r="C1017" t="str">
            <v/>
          </cell>
          <cell r="D1017" t="str">
            <v/>
          </cell>
          <cell r="E1017" t="e">
            <v>#VALUE!</v>
          </cell>
          <cell r="F1017" t="str">
            <v/>
          </cell>
          <cell r="G1017" t="str">
            <v/>
          </cell>
          <cell r="H1017" t="str">
            <v/>
          </cell>
          <cell r="I1017" t="str">
            <v/>
          </cell>
          <cell r="J1017" t="str">
            <v/>
          </cell>
        </row>
        <row r="1018">
          <cell r="B1018" t="str">
            <v>CN5300709</v>
          </cell>
          <cell r="C1018" t="str">
            <v/>
          </cell>
          <cell r="D1018" t="str">
            <v/>
          </cell>
          <cell r="E1018" t="e">
            <v>#VALUE!</v>
          </cell>
          <cell r="F1018" t="str">
            <v/>
          </cell>
          <cell r="G1018" t="str">
            <v/>
          </cell>
          <cell r="H1018" t="str">
            <v/>
          </cell>
          <cell r="I1018" t="str">
            <v/>
          </cell>
          <cell r="J1018" t="str">
            <v/>
          </cell>
        </row>
        <row r="1019">
          <cell r="B1019" t="str">
            <v>CN53007010</v>
          </cell>
          <cell r="C1019" t="str">
            <v/>
          </cell>
          <cell r="D1019" t="str">
            <v/>
          </cell>
          <cell r="E1019" t="e">
            <v>#VALUE!</v>
          </cell>
          <cell r="F1019" t="str">
            <v/>
          </cell>
          <cell r="G1019" t="str">
            <v/>
          </cell>
          <cell r="H1019" t="str">
            <v/>
          </cell>
          <cell r="I1019" t="str">
            <v/>
          </cell>
          <cell r="J1019" t="str">
            <v/>
          </cell>
        </row>
        <row r="1020">
          <cell r="B1020" t="str">
            <v>CN53007011</v>
          </cell>
          <cell r="C1020" t="str">
            <v/>
          </cell>
          <cell r="D1020" t="str">
            <v/>
          </cell>
          <cell r="E1020" t="e">
            <v>#VALUE!</v>
          </cell>
          <cell r="F1020" t="str">
            <v/>
          </cell>
          <cell r="G1020" t="str">
            <v/>
          </cell>
          <cell r="H1020" t="str">
            <v/>
          </cell>
          <cell r="I1020" t="str">
            <v/>
          </cell>
          <cell r="J1020" t="str">
            <v/>
          </cell>
        </row>
        <row r="1021">
          <cell r="B1021" t="str">
            <v>CN53007012</v>
          </cell>
          <cell r="C1021" t="str">
            <v/>
          </cell>
          <cell r="D1021" t="str">
            <v/>
          </cell>
          <cell r="E1021" t="e">
            <v>#VALUE!</v>
          </cell>
          <cell r="F1021" t="str">
            <v/>
          </cell>
          <cell r="G1021" t="str">
            <v/>
          </cell>
          <cell r="H1021" t="str">
            <v/>
          </cell>
          <cell r="I1021" t="str">
            <v/>
          </cell>
          <cell r="J1021" t="str">
            <v/>
          </cell>
        </row>
        <row r="1022">
          <cell r="B1022" t="str">
            <v>CN5300301</v>
          </cell>
          <cell r="C1022">
            <v>9220</v>
          </cell>
          <cell r="D1022">
            <v>1070</v>
          </cell>
          <cell r="E1022">
            <v>10290</v>
          </cell>
          <cell r="F1022">
            <v>10.4</v>
          </cell>
          <cell r="G1022">
            <v>10280</v>
          </cell>
          <cell r="H1022">
            <v>9220</v>
          </cell>
          <cell r="I1022">
            <v>1070</v>
          </cell>
          <cell r="J1022">
            <v>10.4</v>
          </cell>
        </row>
        <row r="1023">
          <cell r="B1023" t="str">
            <v>CN5300302</v>
          </cell>
          <cell r="C1023">
            <v>9260</v>
          </cell>
          <cell r="D1023">
            <v>1040</v>
          </cell>
          <cell r="E1023">
            <v>10300</v>
          </cell>
          <cell r="F1023">
            <v>10.1</v>
          </cell>
          <cell r="G1023">
            <v>10290</v>
          </cell>
          <cell r="H1023">
            <v>9240</v>
          </cell>
          <cell r="I1023">
            <v>1050</v>
          </cell>
          <cell r="J1023">
            <v>10.214296127119878</v>
          </cell>
        </row>
        <row r="1024">
          <cell r="B1024" t="str">
            <v>CN5300303</v>
          </cell>
          <cell r="C1024">
            <v>9280</v>
          </cell>
          <cell r="D1024">
            <v>930</v>
          </cell>
          <cell r="E1024">
            <v>10210</v>
          </cell>
          <cell r="F1024">
            <v>9.1</v>
          </cell>
          <cell r="G1024">
            <v>10260</v>
          </cell>
          <cell r="H1024">
            <v>9250</v>
          </cell>
          <cell r="I1024">
            <v>1010</v>
          </cell>
          <cell r="J1024">
            <v>9.8486324952900652</v>
          </cell>
        </row>
        <row r="1025">
          <cell r="B1025" t="str">
            <v>CN5300304</v>
          </cell>
          <cell r="C1025">
            <v>9280</v>
          </cell>
          <cell r="D1025">
            <v>920</v>
          </cell>
          <cell r="E1025">
            <v>10200</v>
          </cell>
          <cell r="F1025">
            <v>9</v>
          </cell>
          <cell r="G1025">
            <v>10250</v>
          </cell>
          <cell r="H1025">
            <v>9260</v>
          </cell>
          <cell r="I1025">
            <v>990</v>
          </cell>
          <cell r="J1025">
            <v>9.6401122361839704</v>
          </cell>
        </row>
        <row r="1026">
          <cell r="B1026" t="str">
            <v>CN5300305</v>
          </cell>
          <cell r="C1026">
            <v>9430</v>
          </cell>
          <cell r="D1026">
            <v>790</v>
          </cell>
          <cell r="E1026">
            <v>10220</v>
          </cell>
          <cell r="F1026">
            <v>7.7</v>
          </cell>
          <cell r="G1026">
            <v>10240</v>
          </cell>
          <cell r="H1026">
            <v>9290</v>
          </cell>
          <cell r="I1026">
            <v>950</v>
          </cell>
          <cell r="J1026">
            <v>9.2503613422399305</v>
          </cell>
        </row>
        <row r="1027">
          <cell r="B1027" t="str">
            <v>CN5300306</v>
          </cell>
          <cell r="C1027">
            <v>9070</v>
          </cell>
          <cell r="D1027">
            <v>920</v>
          </cell>
          <cell r="E1027">
            <v>9990</v>
          </cell>
          <cell r="F1027">
            <v>9.1999999999999993</v>
          </cell>
          <cell r="G1027">
            <v>10200</v>
          </cell>
          <cell r="H1027">
            <v>9260</v>
          </cell>
          <cell r="I1027">
            <v>940</v>
          </cell>
          <cell r="J1027">
            <v>9.2387396221481328</v>
          </cell>
        </row>
        <row r="1028">
          <cell r="B1028" t="str">
            <v>CN5300307</v>
          </cell>
          <cell r="C1028">
            <v>8820</v>
          </cell>
          <cell r="D1028">
            <v>660</v>
          </cell>
          <cell r="E1028">
            <v>9480</v>
          </cell>
          <cell r="F1028">
            <v>7</v>
          </cell>
          <cell r="G1028">
            <v>10100</v>
          </cell>
          <cell r="H1028">
            <v>9190</v>
          </cell>
          <cell r="I1028">
            <v>900</v>
          </cell>
          <cell r="J1028">
            <v>8.9329427912439332</v>
          </cell>
        </row>
        <row r="1029">
          <cell r="B1029" t="str">
            <v>CN5300308</v>
          </cell>
          <cell r="C1029" t="str">
            <v/>
          </cell>
          <cell r="D1029" t="str">
            <v/>
          </cell>
          <cell r="E1029" t="e">
            <v>#VALUE!</v>
          </cell>
          <cell r="F1029" t="str">
            <v/>
          </cell>
          <cell r="G1029" t="str">
            <v/>
          </cell>
          <cell r="H1029" t="str">
            <v/>
          </cell>
          <cell r="I1029" t="str">
            <v/>
          </cell>
          <cell r="J1029" t="str">
            <v/>
          </cell>
        </row>
        <row r="1030">
          <cell r="B1030" t="str">
            <v>CN5300309</v>
          </cell>
          <cell r="C1030" t="str">
            <v/>
          </cell>
          <cell r="D1030" t="str">
            <v/>
          </cell>
          <cell r="E1030" t="e">
            <v>#VALUE!</v>
          </cell>
          <cell r="F1030" t="str">
            <v/>
          </cell>
          <cell r="G1030" t="str">
            <v/>
          </cell>
          <cell r="H1030" t="str">
            <v/>
          </cell>
          <cell r="I1030" t="str">
            <v/>
          </cell>
          <cell r="J1030" t="str">
            <v/>
          </cell>
        </row>
        <row r="1031">
          <cell r="B1031" t="str">
            <v>CN53003010</v>
          </cell>
          <cell r="C1031" t="str">
            <v/>
          </cell>
          <cell r="D1031" t="str">
            <v/>
          </cell>
          <cell r="E1031" t="e">
            <v>#VALUE!</v>
          </cell>
          <cell r="F1031" t="str">
            <v/>
          </cell>
          <cell r="G1031" t="str">
            <v/>
          </cell>
          <cell r="H1031" t="str">
            <v/>
          </cell>
          <cell r="I1031" t="str">
            <v/>
          </cell>
          <cell r="J1031" t="str">
            <v/>
          </cell>
        </row>
        <row r="1032">
          <cell r="B1032" t="str">
            <v>CN53003011</v>
          </cell>
          <cell r="C1032" t="str">
            <v/>
          </cell>
          <cell r="D1032" t="str">
            <v/>
          </cell>
          <cell r="E1032" t="e">
            <v>#VALUE!</v>
          </cell>
          <cell r="F1032" t="str">
            <v/>
          </cell>
          <cell r="G1032" t="str">
            <v/>
          </cell>
          <cell r="H1032" t="str">
            <v/>
          </cell>
          <cell r="I1032" t="str">
            <v/>
          </cell>
          <cell r="J1032" t="str">
            <v/>
          </cell>
        </row>
        <row r="1033">
          <cell r="B1033" t="str">
            <v>CN53003012</v>
          </cell>
          <cell r="C1033" t="str">
            <v/>
          </cell>
          <cell r="D1033" t="str">
            <v/>
          </cell>
          <cell r="E1033" t="e">
            <v>#VALUE!</v>
          </cell>
          <cell r="F1033" t="str">
            <v/>
          </cell>
          <cell r="G1033" t="str">
            <v/>
          </cell>
          <cell r="H1033" t="str">
            <v/>
          </cell>
          <cell r="I1033" t="str">
            <v/>
          </cell>
          <cell r="J1033" t="str">
            <v/>
          </cell>
        </row>
        <row r="1034">
          <cell r="B1034" t="str">
            <v>CN5300101</v>
          </cell>
          <cell r="C1034">
            <v>7120</v>
          </cell>
          <cell r="D1034">
            <v>1210</v>
          </cell>
          <cell r="E1034">
            <v>8330</v>
          </cell>
          <cell r="F1034">
            <v>14.5</v>
          </cell>
          <cell r="G1034">
            <v>8330</v>
          </cell>
          <cell r="H1034">
            <v>7120</v>
          </cell>
          <cell r="I1034">
            <v>1210</v>
          </cell>
          <cell r="J1034">
            <v>14.5</v>
          </cell>
        </row>
        <row r="1035">
          <cell r="B1035" t="str">
            <v>CN5300102</v>
          </cell>
          <cell r="C1035">
            <v>7080</v>
          </cell>
          <cell r="D1035">
            <v>960</v>
          </cell>
          <cell r="E1035">
            <v>8040</v>
          </cell>
          <cell r="F1035">
            <v>11.9</v>
          </cell>
          <cell r="G1035">
            <v>8180</v>
          </cell>
          <cell r="H1035">
            <v>7100</v>
          </cell>
          <cell r="I1035">
            <v>1080</v>
          </cell>
          <cell r="J1035">
            <v>13.23718144594512</v>
          </cell>
        </row>
        <row r="1036">
          <cell r="B1036" t="str">
            <v>CN5300103</v>
          </cell>
          <cell r="C1036">
            <v>7360</v>
          </cell>
          <cell r="D1036">
            <v>820</v>
          </cell>
          <cell r="E1036">
            <v>8180</v>
          </cell>
          <cell r="F1036">
            <v>10</v>
          </cell>
          <cell r="G1036">
            <v>8180</v>
          </cell>
          <cell r="H1036">
            <v>7190</v>
          </cell>
          <cell r="I1036">
            <v>1000</v>
          </cell>
          <cell r="J1036">
            <v>12.169484620085557</v>
          </cell>
        </row>
        <row r="1037">
          <cell r="B1037" t="str">
            <v>CN5300104</v>
          </cell>
          <cell r="C1037">
            <v>7670</v>
          </cell>
          <cell r="D1037">
            <v>690</v>
          </cell>
          <cell r="E1037">
            <v>8360</v>
          </cell>
          <cell r="F1037">
            <v>8.1999999999999993</v>
          </cell>
          <cell r="G1037">
            <v>8220</v>
          </cell>
          <cell r="H1037">
            <v>7310</v>
          </cell>
          <cell r="I1037">
            <v>920</v>
          </cell>
          <cell r="J1037">
            <v>11.173591902489436</v>
          </cell>
        </row>
        <row r="1038">
          <cell r="B1038" t="str">
            <v>CN5300105</v>
          </cell>
          <cell r="C1038">
            <v>7690</v>
          </cell>
          <cell r="D1038">
            <v>680</v>
          </cell>
          <cell r="E1038">
            <v>8370</v>
          </cell>
          <cell r="F1038">
            <v>8.1</v>
          </cell>
          <cell r="G1038">
            <v>8250</v>
          </cell>
          <cell r="H1038">
            <v>7380</v>
          </cell>
          <cell r="I1038">
            <v>870</v>
          </cell>
          <cell r="J1038">
            <v>10.550803305304481</v>
          </cell>
        </row>
        <row r="1039">
          <cell r="B1039" t="str">
            <v>CN5300106</v>
          </cell>
          <cell r="C1039">
            <v>8060</v>
          </cell>
          <cell r="D1039">
            <v>690</v>
          </cell>
          <cell r="E1039">
            <v>8750</v>
          </cell>
          <cell r="F1039">
            <v>7.9</v>
          </cell>
          <cell r="G1039">
            <v>8340</v>
          </cell>
          <cell r="H1039">
            <v>7500</v>
          </cell>
          <cell r="I1039">
            <v>840</v>
          </cell>
          <cell r="J1039">
            <v>10.07978244786147</v>
          </cell>
        </row>
        <row r="1040">
          <cell r="B1040" t="str">
            <v>CN5300107</v>
          </cell>
          <cell r="C1040">
            <v>8350</v>
          </cell>
          <cell r="D1040">
            <v>690</v>
          </cell>
          <cell r="E1040">
            <v>9040</v>
          </cell>
          <cell r="F1040">
            <v>7.7</v>
          </cell>
          <cell r="G1040">
            <v>8440</v>
          </cell>
          <cell r="H1040">
            <v>7620</v>
          </cell>
          <cell r="I1040">
            <v>820</v>
          </cell>
          <cell r="J1040">
            <v>9.7107927799790037</v>
          </cell>
        </row>
        <row r="1041">
          <cell r="B1041" t="str">
            <v>CN5300108</v>
          </cell>
          <cell r="C1041" t="str">
            <v/>
          </cell>
          <cell r="D1041" t="str">
            <v/>
          </cell>
          <cell r="E1041" t="e">
            <v>#VALUE!</v>
          </cell>
          <cell r="F1041" t="str">
            <v/>
          </cell>
          <cell r="G1041" t="str">
            <v/>
          </cell>
          <cell r="H1041" t="str">
            <v/>
          </cell>
          <cell r="I1041" t="str">
            <v/>
          </cell>
          <cell r="J1041" t="str">
            <v/>
          </cell>
        </row>
        <row r="1042">
          <cell r="B1042" t="str">
            <v>CN5300109</v>
          </cell>
          <cell r="C1042" t="str">
            <v/>
          </cell>
          <cell r="D1042" t="str">
            <v/>
          </cell>
          <cell r="E1042" t="e">
            <v>#VALUE!</v>
          </cell>
          <cell r="F1042" t="str">
            <v/>
          </cell>
          <cell r="G1042" t="str">
            <v/>
          </cell>
          <cell r="H1042" t="str">
            <v/>
          </cell>
          <cell r="I1042" t="str">
            <v/>
          </cell>
          <cell r="J1042" t="str">
            <v/>
          </cell>
        </row>
        <row r="1043">
          <cell r="B1043" t="str">
            <v>CN53001010</v>
          </cell>
          <cell r="C1043" t="str">
            <v/>
          </cell>
          <cell r="D1043" t="str">
            <v/>
          </cell>
          <cell r="E1043" t="e">
            <v>#VALUE!</v>
          </cell>
          <cell r="F1043" t="str">
            <v/>
          </cell>
          <cell r="G1043" t="str">
            <v/>
          </cell>
          <cell r="H1043" t="str">
            <v/>
          </cell>
          <cell r="I1043" t="str">
            <v/>
          </cell>
          <cell r="J1043" t="str">
            <v/>
          </cell>
        </row>
        <row r="1044">
          <cell r="B1044" t="str">
            <v>CN53001011</v>
          </cell>
          <cell r="C1044" t="str">
            <v/>
          </cell>
          <cell r="D1044" t="str">
            <v/>
          </cell>
          <cell r="E1044" t="e">
            <v>#VALUE!</v>
          </cell>
          <cell r="F1044" t="str">
            <v/>
          </cell>
          <cell r="G1044" t="str">
            <v/>
          </cell>
          <cell r="H1044" t="str">
            <v/>
          </cell>
          <cell r="I1044" t="str">
            <v/>
          </cell>
          <cell r="J1044" t="str">
            <v/>
          </cell>
        </row>
        <row r="1045">
          <cell r="B1045" t="str">
            <v>CN53001012</v>
          </cell>
          <cell r="C1045" t="str">
            <v/>
          </cell>
          <cell r="D1045" t="str">
            <v/>
          </cell>
          <cell r="E1045" t="e">
            <v>#VALUE!</v>
          </cell>
          <cell r="F1045" t="str">
            <v/>
          </cell>
          <cell r="G1045" t="str">
            <v/>
          </cell>
          <cell r="H1045" t="str">
            <v/>
          </cell>
          <cell r="I1045" t="str">
            <v/>
          </cell>
          <cell r="J1045" t="str">
            <v/>
          </cell>
        </row>
        <row r="1046">
          <cell r="B1046" t="str">
            <v>CA5350001</v>
          </cell>
          <cell r="C1046">
            <v>2041520</v>
          </cell>
          <cell r="D1046">
            <v>206090</v>
          </cell>
          <cell r="E1046">
            <v>2247610</v>
          </cell>
          <cell r="F1046">
            <v>9.1999999999999993</v>
          </cell>
          <cell r="G1046">
            <v>2247610</v>
          </cell>
          <cell r="H1046">
            <v>2041520</v>
          </cell>
          <cell r="I1046">
            <v>206090</v>
          </cell>
          <cell r="J1046">
            <v>9.1999999999999993</v>
          </cell>
        </row>
        <row r="1047">
          <cell r="B1047" t="str">
            <v>CA5350002</v>
          </cell>
          <cell r="C1047">
            <v>2046260</v>
          </cell>
          <cell r="D1047">
            <v>210660</v>
          </cell>
          <cell r="E1047">
            <v>2256920</v>
          </cell>
          <cell r="F1047">
            <v>9.3000000000000007</v>
          </cell>
          <cell r="G1047">
            <v>2252260</v>
          </cell>
          <cell r="H1047">
            <v>2043890</v>
          </cell>
          <cell r="I1047">
            <v>208370</v>
          </cell>
          <cell r="J1047">
            <v>9.2517108891961861</v>
          </cell>
        </row>
        <row r="1048">
          <cell r="B1048" t="str">
            <v>CA5350003</v>
          </cell>
          <cell r="C1048">
            <v>2042770</v>
          </cell>
          <cell r="D1048">
            <v>208240</v>
          </cell>
          <cell r="E1048">
            <v>2251010</v>
          </cell>
          <cell r="F1048">
            <v>9.3000000000000007</v>
          </cell>
          <cell r="G1048">
            <v>2251850</v>
          </cell>
          <cell r="H1048">
            <v>2043520</v>
          </cell>
          <cell r="I1048">
            <v>208330</v>
          </cell>
          <cell r="J1048">
            <v>9.2514360446655974</v>
          </cell>
        </row>
        <row r="1049">
          <cell r="B1049" t="str">
            <v>CA5350004</v>
          </cell>
          <cell r="C1049">
            <v>2028330</v>
          </cell>
          <cell r="D1049">
            <v>190650</v>
          </cell>
          <cell r="E1049">
            <v>2218980</v>
          </cell>
          <cell r="F1049">
            <v>8.6</v>
          </cell>
          <cell r="G1049">
            <v>2243630</v>
          </cell>
          <cell r="H1049">
            <v>2039720</v>
          </cell>
          <cell r="I1049">
            <v>203910</v>
          </cell>
          <cell r="J1049">
            <v>9.0882854984044243</v>
          </cell>
        </row>
        <row r="1050">
          <cell r="B1050" t="str">
            <v>CA5350005</v>
          </cell>
          <cell r="C1050">
            <v>2040140</v>
          </cell>
          <cell r="D1050">
            <v>190600</v>
          </cell>
          <cell r="E1050">
            <v>2230740</v>
          </cell>
          <cell r="F1050">
            <v>8.5</v>
          </cell>
          <cell r="G1050">
            <v>2241050</v>
          </cell>
          <cell r="H1050">
            <v>2039800</v>
          </cell>
          <cell r="I1050">
            <v>201250</v>
          </cell>
          <cell r="J1050">
            <v>8.979952964896448</v>
          </cell>
        </row>
        <row r="1051">
          <cell r="B1051" t="str">
            <v>CA5350006</v>
          </cell>
          <cell r="C1051">
            <v>2025780</v>
          </cell>
          <cell r="D1051">
            <v>205010</v>
          </cell>
          <cell r="E1051">
            <v>2230790</v>
          </cell>
          <cell r="F1051">
            <v>9.1999999999999993</v>
          </cell>
          <cell r="G1051">
            <v>2239340</v>
          </cell>
          <cell r="H1051">
            <v>2037470</v>
          </cell>
          <cell r="I1051">
            <v>201870</v>
          </cell>
          <cell r="J1051">
            <v>9.0148389004018732</v>
          </cell>
        </row>
        <row r="1052">
          <cell r="B1052" t="str">
            <v>CA5350007</v>
          </cell>
          <cell r="C1052">
            <v>2017120</v>
          </cell>
          <cell r="D1052">
            <v>199910</v>
          </cell>
          <cell r="E1052">
            <v>2217030</v>
          </cell>
          <cell r="F1052">
            <v>9</v>
          </cell>
          <cell r="G1052">
            <v>2236150</v>
          </cell>
          <cell r="H1052">
            <v>2034560</v>
          </cell>
          <cell r="I1052">
            <v>201590</v>
          </cell>
          <cell r="J1052">
            <v>9.0151551159568495</v>
          </cell>
        </row>
        <row r="1053">
          <cell r="B1053" t="str">
            <v>CA5350008</v>
          </cell>
          <cell r="C1053" t="str">
            <v/>
          </cell>
          <cell r="D1053" t="str">
            <v/>
          </cell>
          <cell r="E1053" t="e">
            <v>#VALUE!</v>
          </cell>
          <cell r="F1053" t="str">
            <v/>
          </cell>
          <cell r="G1053" t="str">
            <v/>
          </cell>
          <cell r="H1053" t="str">
            <v/>
          </cell>
          <cell r="I1053" t="str">
            <v/>
          </cell>
          <cell r="J1053" t="str">
            <v/>
          </cell>
        </row>
        <row r="1054">
          <cell r="B1054" t="str">
            <v>CA5350009</v>
          </cell>
          <cell r="C1054" t="str">
            <v/>
          </cell>
          <cell r="D1054" t="str">
            <v/>
          </cell>
          <cell r="E1054" t="e">
            <v>#VALUE!</v>
          </cell>
          <cell r="F1054" t="str">
            <v/>
          </cell>
          <cell r="G1054" t="str">
            <v/>
          </cell>
          <cell r="H1054" t="str">
            <v/>
          </cell>
          <cell r="I1054" t="str">
            <v/>
          </cell>
          <cell r="J1054" t="str">
            <v/>
          </cell>
        </row>
        <row r="1055">
          <cell r="B1055" t="str">
            <v>CA53500010</v>
          </cell>
          <cell r="C1055" t="str">
            <v/>
          </cell>
          <cell r="D1055" t="str">
            <v/>
          </cell>
          <cell r="E1055" t="e">
            <v>#VALUE!</v>
          </cell>
          <cell r="F1055" t="str">
            <v/>
          </cell>
          <cell r="G1055" t="str">
            <v/>
          </cell>
          <cell r="H1055" t="str">
            <v/>
          </cell>
          <cell r="I1055" t="str">
            <v/>
          </cell>
          <cell r="J1055" t="str">
            <v/>
          </cell>
        </row>
        <row r="1056">
          <cell r="B1056" t="str">
            <v>CA53500011</v>
          </cell>
          <cell r="C1056" t="str">
            <v/>
          </cell>
          <cell r="D1056" t="str">
            <v/>
          </cell>
          <cell r="E1056" t="e">
            <v>#VALUE!</v>
          </cell>
          <cell r="F1056" t="str">
            <v/>
          </cell>
          <cell r="G1056" t="str">
            <v/>
          </cell>
          <cell r="H1056" t="str">
            <v/>
          </cell>
          <cell r="I1056" t="str">
            <v/>
          </cell>
          <cell r="J1056" t="str">
            <v/>
          </cell>
        </row>
        <row r="1057">
          <cell r="B1057" t="str">
            <v>CA53500012</v>
          </cell>
          <cell r="C1057" t="str">
            <v/>
          </cell>
          <cell r="D1057" t="str">
            <v/>
          </cell>
          <cell r="E1057" t="e">
            <v>#VALUE!</v>
          </cell>
          <cell r="F1057" t="str">
            <v/>
          </cell>
          <cell r="G1057" t="str">
            <v/>
          </cell>
          <cell r="H1057" t="str">
            <v/>
          </cell>
          <cell r="I1057" t="str">
            <v/>
          </cell>
          <cell r="J1057" t="str">
            <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Documents%20and%20Settings\swheeler\Application%20Data\Microsoft\Excel\System%20Performance%20Dashboard%20PY11Q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2" Type="http://schemas.openxmlformats.org/officeDocument/2006/relationships/externalLinkPath" Target="file:///\\esd1floly02\users\swheeler\My%20Documents\SharePoint%20Drafts\LAUS-historical-NSA%20(2)%20February%202012.xlsx" TargetMode="External"/><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pivotCacheDefinition1.xml><?xml version="1.0" encoding="utf-8"?>
<pivotCacheDefinition xmlns="http://schemas.openxmlformats.org/spreadsheetml/2006/main" xmlns:r="http://schemas.openxmlformats.org/officeDocument/2006/relationships" r:id="rId1" refreshedBy="swheeler" refreshedDate="40849.565629976853" createdVersion="3" refreshedVersion="3" minRefreshableVersion="3" recordCount="741">
  <cacheSource type="worksheet">
    <worksheetSource ref="A1:K742" sheet="PopulationAgeSexRace" r:id="rId2"/>
  </cacheSource>
  <cacheFields count="11">
    <cacheField name="COUNTY" numFmtId="0">
      <sharedItems containsSemiMixedTypes="0" containsString="0" containsNumber="1" containsInteger="1" minValue="1" maxValue="77"/>
    </cacheField>
    <cacheField name="CTYNAME" numFmtId="0">
      <sharedItems/>
    </cacheField>
    <cacheField name="AGEGRP" numFmtId="0">
      <sharedItems containsSemiMixedTypes="0" containsString="0" containsNumber="1" containsInteger="1" minValue="0" maxValue="18" count="19">
        <n v="0"/>
        <n v="1"/>
        <n v="2"/>
        <n v="3"/>
        <n v="4"/>
        <n v="5"/>
        <n v="6"/>
        <n v="7"/>
        <n v="8"/>
        <n v="9"/>
        <n v="10"/>
        <n v="11"/>
        <n v="12"/>
        <n v="13"/>
        <n v="14"/>
        <n v="15"/>
        <n v="16"/>
        <n v="17"/>
        <n v="18"/>
      </sharedItems>
    </cacheField>
    <cacheField name="TOT_POP" numFmtId="0">
      <sharedItems containsSemiMixedTypes="0" containsString="0" containsNumber="1" containsInteger="1" minValue="69" maxValue="1916441"/>
    </cacheField>
    <cacheField name="TOT_MALE" numFmtId="0">
      <sharedItems containsSemiMixedTypes="0" containsString="0" containsNumber="1" containsInteger="1" minValue="31" maxValue="958922"/>
    </cacheField>
    <cacheField name="TOT_FEMALE" numFmtId="0">
      <sharedItems containsSemiMixedTypes="0" containsString="0" containsNumber="1" containsInteger="1" minValue="29" maxValue="957519"/>
    </cacheField>
    <cacheField name="WA_MALE" numFmtId="0">
      <sharedItems containsSemiMixedTypes="0" containsString="0" containsNumber="1" containsInteger="1" minValue="31" maxValue="717561"/>
    </cacheField>
    <cacheField name="WA_FEMALE" numFmtId="0">
      <sharedItems containsSemiMixedTypes="0" containsString="0" containsNumber="1" containsInteger="1" minValue="23" maxValue="709294"/>
    </cacheField>
    <cacheField name="Protected Racial Class" numFmtId="0">
      <sharedItems containsSemiMixedTypes="0" containsString="0" containsNumber="1" containsInteger="1" minValue="0" maxValue="489586"/>
    </cacheField>
    <cacheField name="Area" numFmtId="0">
      <sharedItems/>
    </cacheField>
    <cacheField name="Area#" numFmtId="0">
      <sharedItems containsSemiMixedTypes="0" containsString="0" containsNumber="1" containsInteger="1" minValue="1" maxValue="12" count="12">
        <n v="8"/>
        <n v="10"/>
        <n v="11"/>
        <n v="1"/>
        <n v="7"/>
        <n v="2"/>
        <n v="3"/>
        <n v="5"/>
        <n v="9"/>
        <n v="6"/>
        <n v="4"/>
        <n v="1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wheeler" refreshedDate="40918.658158680555" createdVersion="3" refreshedVersion="3" minRefreshableVersion="3" recordCount="1">
  <cacheSource type="external" connectionId="22"/>
  <cacheFields count="12">
    <cacheField name="1" numFmtId="0">
      <sharedItems containsSemiMixedTypes="0" containsString="0" containsNumber="1" containsInteger="1" minValue="450" maxValue="450" count="1">
        <n v="450"/>
      </sharedItems>
    </cacheField>
    <cacheField name="2" numFmtId="0">
      <sharedItems containsSemiMixedTypes="0" containsString="0" containsNumber="1" containsInteger="1" minValue="626" maxValue="626" count="1">
        <n v="626"/>
      </sharedItems>
    </cacheField>
    <cacheField name="3" numFmtId="0">
      <sharedItems containsSemiMixedTypes="0" containsString="0" containsNumber="1" containsInteger="1" minValue="234" maxValue="234" count="1">
        <n v="234"/>
      </sharedItems>
    </cacheField>
    <cacheField name="4" numFmtId="0">
      <sharedItems containsSemiMixedTypes="0" containsString="0" containsNumber="1" containsInteger="1" minValue="777" maxValue="777" count="1">
        <n v="777"/>
      </sharedItems>
    </cacheField>
    <cacheField name="5" numFmtId="0">
      <sharedItems containsSemiMixedTypes="0" containsString="0" containsNumber="1" containsInteger="1" minValue="528" maxValue="528" count="1">
        <n v="528"/>
      </sharedItems>
    </cacheField>
    <cacheField name="6" numFmtId="0">
      <sharedItems containsSemiMixedTypes="0" containsString="0" containsNumber="1" containsInteger="1" minValue="320" maxValue="320" count="1">
        <n v="320"/>
      </sharedItems>
    </cacheField>
    <cacheField name="7" numFmtId="0">
      <sharedItems containsSemiMixedTypes="0" containsString="0" containsNumber="1" containsInteger="1" minValue="343" maxValue="343" count="1">
        <n v="343"/>
      </sharedItems>
    </cacheField>
    <cacheField name="8" numFmtId="0">
      <sharedItems containsSemiMixedTypes="0" containsString="0" containsNumber="1" containsInteger="1" minValue="4150" maxValue="4150" count="1">
        <n v="4150"/>
      </sharedItems>
    </cacheField>
    <cacheField name="9" numFmtId="0">
      <sharedItems containsSemiMixedTypes="0" containsString="0" containsNumber="1" containsInteger="1" minValue="2568" maxValue="2568" count="1">
        <n v="2568"/>
      </sharedItems>
    </cacheField>
    <cacheField name="10" numFmtId="0">
      <sharedItems containsSemiMixedTypes="0" containsString="0" containsNumber="1" containsInteger="1" minValue="401" maxValue="401" count="1">
        <n v="401"/>
      </sharedItems>
    </cacheField>
    <cacheField name="11" numFmtId="0">
      <sharedItems containsSemiMixedTypes="0" containsString="0" containsNumber="1" containsInteger="1" minValue="1515" maxValue="1515" count="1">
        <n v="1515"/>
      </sharedItems>
    </cacheField>
    <cacheField name="12" numFmtId="0">
      <sharedItems containsSemiMixedTypes="0" containsString="0" containsNumber="1" containsInteger="1" minValue="237" maxValue="237" count="1">
        <n v="237"/>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wheeler" refreshedDate="40918.658185069442" createdVersion="3" refreshedVersion="3" minRefreshableVersion="3" recordCount="1">
  <cacheSource type="external" connectionId="8"/>
  <cacheFields count="12">
    <cacheField name="1" numFmtId="0">
      <sharedItems containsSemiMixedTypes="0" containsString="0" containsNumber="1" containsInteger="1" minValue="470" maxValue="470" count="1">
        <n v="470"/>
      </sharedItems>
    </cacheField>
    <cacheField name="2" numFmtId="0">
      <sharedItems containsSemiMixedTypes="0" containsString="0" containsNumber="1" containsInteger="1" minValue="588" maxValue="588" count="1">
        <n v="588"/>
      </sharedItems>
    </cacheField>
    <cacheField name="3" numFmtId="0">
      <sharedItems containsSemiMixedTypes="0" containsString="0" containsNumber="1" containsInteger="1" minValue="231" maxValue="231" count="1">
        <n v="231"/>
      </sharedItems>
    </cacheField>
    <cacheField name="4" numFmtId="0">
      <sharedItems containsSemiMixedTypes="0" containsString="0" containsNumber="1" containsInteger="1" minValue="546" maxValue="546" count="1">
        <n v="546"/>
      </sharedItems>
    </cacheField>
    <cacheField name="5" numFmtId="0">
      <sharedItems containsSemiMixedTypes="0" containsString="0" containsNumber="1" containsInteger="1" minValue="654" maxValue="654" count="1">
        <n v="654"/>
      </sharedItems>
    </cacheField>
    <cacheField name="6" numFmtId="0">
      <sharedItems containsSemiMixedTypes="0" containsString="0" containsNumber="1" containsInteger="1" minValue="283" maxValue="283" count="1">
        <n v="283"/>
      </sharedItems>
    </cacheField>
    <cacheField name="7" numFmtId="0">
      <sharedItems containsSemiMixedTypes="0" containsString="0" containsNumber="1" containsInteger="1" minValue="555" maxValue="555" count="1">
        <n v="555"/>
      </sharedItems>
    </cacheField>
    <cacheField name="8" numFmtId="0">
      <sharedItems containsSemiMixedTypes="0" containsString="0" containsNumber="1" containsInteger="1" minValue="519" maxValue="519" count="1">
        <n v="519"/>
      </sharedItems>
    </cacheField>
    <cacheField name="9" numFmtId="0">
      <sharedItems containsSemiMixedTypes="0" containsString="0" containsNumber="1" containsInteger="1" minValue="544" maxValue="544" count="1">
        <n v="544"/>
      </sharedItems>
    </cacheField>
    <cacheField name="10" numFmtId="0">
      <sharedItems containsSemiMixedTypes="0" containsString="0" containsNumber="1" containsInteger="1" minValue="221" maxValue="221" count="1">
        <n v="221"/>
      </sharedItems>
    </cacheField>
    <cacheField name="11" numFmtId="0">
      <sharedItems containsSemiMixedTypes="0" containsString="0" containsNumber="1" containsInteger="1" minValue="559" maxValue="559" count="1">
        <n v="559"/>
      </sharedItems>
    </cacheField>
    <cacheField name="12" numFmtId="0">
      <sharedItems containsSemiMixedTypes="0" containsString="0" containsNumber="1" containsInteger="1" minValue="305" maxValue="305" count="1">
        <n v="305"/>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wheeler" refreshedDate="40939.435276504628" createdVersion="3" refreshedVersion="3" minRefreshableVersion="3" recordCount="12">
  <cacheSource type="external" connectionId="7"/>
  <cacheFields count="6">
    <cacheField name="REGIONID" numFmtId="0">
      <sharedItems containsSemiMixedTypes="0" containsString="0" containsNumber="1" containsInteger="1" minValue="1" maxValue="12" count="12">
        <n v="1"/>
        <n v="10"/>
        <n v="11"/>
        <n v="12"/>
        <n v="2"/>
        <n v="3"/>
        <n v="4"/>
        <n v="5"/>
        <n v="6"/>
        <n v="7"/>
        <n v="8"/>
        <n v="9"/>
      </sharedItems>
    </cacheField>
    <cacheField name="CountOfSEEKERID" numFmtId="0">
      <sharedItems containsSemiMixedTypes="0" containsString="0" containsNumber="1" containsInteger="1" minValue="3375" maxValue="14699" count="12">
        <n v="3774"/>
        <n v="3375"/>
        <n v="4803"/>
        <n v="3955"/>
        <n v="5619"/>
        <n v="4018"/>
        <n v="8427"/>
        <n v="14699"/>
        <n v="6275"/>
        <n v="4730"/>
        <n v="6934"/>
        <n v="5083"/>
      </sharedItems>
    </cacheField>
    <cacheField name="CountOfSERVICEDATE" numFmtId="0">
      <sharedItems containsSemiMixedTypes="0" containsString="0" containsNumber="1" containsInteger="1" minValue="9506" maxValue="40095" count="12">
        <n v="9641"/>
        <n v="13286"/>
        <n v="12626"/>
        <n v="12592"/>
        <n v="17448"/>
        <n v="9506"/>
        <n v="36093"/>
        <n v="40095"/>
        <n v="17250"/>
        <n v="14691"/>
        <n v="24353"/>
        <n v="14985"/>
      </sharedItems>
    </cacheField>
    <cacheField name="OldWages" numFmtId="0">
      <sharedItems containsSemiMixedTypes="0" containsString="0" containsNumber="1" minValue="499.63" maxValue="3352.08" count="12">
        <n v="1570.78"/>
        <n v="1761.87"/>
        <n v="3352.08"/>
        <n v="499.63"/>
        <n v="1679.61"/>
        <n v="1258.54"/>
        <n v="1224.1400000000001"/>
        <n v="1944.52"/>
        <n v="577.88"/>
        <n v="1284.5999999999999"/>
        <n v="2387.69"/>
        <n v="1047.6400000000001"/>
      </sharedItems>
    </cacheField>
    <cacheField name="NewWages" numFmtId="0">
      <sharedItems containsSemiMixedTypes="0" containsString="0" containsNumber="1" minValue="409.74" maxValue="3085.29" count="12">
        <n v="1286.1400000000001"/>
        <n v="1477.49"/>
        <n v="3085.29"/>
        <n v="442.23"/>
        <n v="1323.47"/>
        <n v="961.62"/>
        <n v="807.77"/>
        <n v="1267.0899999999999"/>
        <n v="409.74"/>
        <n v="1043.5999999999999"/>
        <n v="2039.11"/>
        <n v="947.46"/>
      </sharedItems>
    </cacheField>
    <cacheField name="AvgOfDuration" numFmtId="0">
      <sharedItems containsSemiMixedTypes="0" containsString="0" containsNumber="1" minValue="9.4142857142857146" maxValue="22.293650793650794" count="12">
        <n v="9.4142857142857146"/>
        <n v="11.009345794392523"/>
        <n v="17.14"/>
        <n v="15.412017167381974"/>
        <n v="14.526645768025078"/>
        <n v="19.25531914893617"/>
        <n v="16.872852233676976"/>
        <n v="15.708933717579251"/>
        <n v="15.545454545454545"/>
        <n v="14.259375"/>
        <n v="14.2"/>
        <n v="22.293650793650794"/>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wheeler" refreshedDate="40939.435277430559" createdVersion="3" refreshedVersion="3" minRefreshableVersion="3" recordCount="13">
  <cacheSource type="external" connectionId="11"/>
  <cacheFields count="6">
    <cacheField name="REGIONID" numFmtId="0">
      <sharedItems containsSemiMixedTypes="0" containsString="0" containsNumber="1" containsInteger="1" minValue="1" maxValue="13" count="13">
        <n v="1"/>
        <n v="10"/>
        <n v="11"/>
        <n v="12"/>
        <n v="13"/>
        <n v="2"/>
        <n v="3"/>
        <n v="4"/>
        <n v="5"/>
        <n v="6"/>
        <n v="7"/>
        <n v="8"/>
        <n v="9"/>
      </sharedItems>
    </cacheField>
    <cacheField name="EOSeekersServedCount_CountOfSEEKERID" numFmtId="0">
      <sharedItems containsSemiMixedTypes="0" containsString="0" containsNumber="1" containsInteger="1" minValue="2670" maxValue="77321" count="13">
        <n v="18978"/>
        <n v="15428"/>
        <n v="17843"/>
        <n v="26353"/>
        <n v="2670"/>
        <n v="31826"/>
        <n v="19679"/>
        <n v="44057"/>
        <n v="77321"/>
        <n v="37356"/>
        <n v="27153"/>
        <n v="32486"/>
        <n v="28432"/>
      </sharedItems>
    </cacheField>
    <cacheField name="EOGenderCount_CountOfSEEKERID" numFmtId="0">
      <sharedItems containsSemiMixedTypes="0" containsString="0" containsNumber="1" containsInteger="1" minValue="404" maxValue="34911" count="13">
        <n v="8155"/>
        <n v="6509"/>
        <n v="7199"/>
        <n v="11085"/>
        <n v="404"/>
        <n v="13412"/>
        <n v="8380"/>
        <n v="18339"/>
        <n v="34911"/>
        <n v="16514"/>
        <n v="12299"/>
        <n v="13084"/>
        <n v="12664"/>
      </sharedItems>
    </cacheField>
    <cacheField name="EORaceCount_CountOfSEEKERID" numFmtId="0">
      <sharedItems containsSemiMixedTypes="0" containsString="0" containsNumber="1" containsInteger="1" minValue="923" maxValue="32820" count="13">
        <n v="4142"/>
        <n v="2575"/>
        <n v="7479"/>
        <n v="4225"/>
        <n v="923"/>
        <n v="6188"/>
        <n v="4038"/>
        <n v="12339"/>
        <n v="32820"/>
        <n v="13925"/>
        <n v="6041"/>
        <n v="9723"/>
        <n v="13665"/>
      </sharedItems>
    </cacheField>
    <cacheField name="EOAgeCount_CountOfSEEKERID" numFmtId="0">
      <sharedItems containsSemiMixedTypes="0" containsString="0" containsNumber="1" containsInteger="1" minValue="320" maxValue="16322" count="13">
        <n v="3805"/>
        <n v="2709"/>
        <n v="2231"/>
        <n v="4600"/>
        <n v="320"/>
        <n v="5545"/>
        <n v="3972"/>
        <n v="9166"/>
        <n v="16322"/>
        <n v="6471"/>
        <n v="4481"/>
        <n v="4764"/>
        <n v="4443"/>
      </sharedItems>
    </cacheField>
    <cacheField name="EODisabilityCount_CountOfSEEKERID" numFmtId="0">
      <sharedItems containsSemiMixedTypes="0" containsString="0" containsNumber="1" containsInteger="1" minValue="120" maxValue="3069" count="12">
        <n v="1020"/>
        <n v="580"/>
        <n v="364"/>
        <n v="1255"/>
        <n v="120"/>
        <n v="1664"/>
        <n v="664"/>
        <n v="2395"/>
        <n v="3069"/>
        <n v="1968"/>
        <n v="1428"/>
        <n v="833"/>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wheeler" refreshedDate="40939.435278124998" createdVersion="3" refreshedVersion="3" minRefreshableVersion="3" recordCount="12">
  <cacheSource type="external" connectionId="12"/>
  <cacheFields count="9">
    <cacheField name="REGIONID" numFmtId="0">
      <sharedItems containsSemiMixedTypes="0" containsString="0" containsNumber="1" containsInteger="1" minValue="1" maxValue="12" count="12">
        <n v="1"/>
        <n v="2"/>
        <n v="3"/>
        <n v="4"/>
        <n v="5"/>
        <n v="6"/>
        <n v="7"/>
        <n v="8"/>
        <n v="9"/>
        <n v="10"/>
        <n v="11"/>
        <n v="12"/>
      </sharedItems>
    </cacheField>
    <cacheField name="EOWIASEEKERCOUNT_CountOfSEEKER_ID" numFmtId="0">
      <sharedItems containsSemiMixedTypes="0" containsString="0" containsNumber="1" containsInteger="1" minValue="632" maxValue="3497" count="12">
        <n v="981"/>
        <n v="2187"/>
        <n v="882"/>
        <n v="2153"/>
        <n v="3497"/>
        <n v="1281"/>
        <n v="2428"/>
        <n v="1123"/>
        <n v="1176"/>
        <n v="881"/>
        <n v="632"/>
        <n v="1556"/>
      </sharedItems>
    </cacheField>
    <cacheField name="EOWIAGENDERCOUNT_CountOfSEEKER_ID" numFmtId="0">
      <sharedItems containsSemiMixedTypes="0" containsString="0" containsNumber="1" containsInteger="1" minValue="368" maxValue="2009" count="12">
        <n v="507"/>
        <n v="929"/>
        <n v="490"/>
        <n v="994"/>
        <n v="2009"/>
        <n v="690"/>
        <n v="1149"/>
        <n v="658"/>
        <n v="609"/>
        <n v="408"/>
        <n v="368"/>
        <n v="761"/>
      </sharedItems>
    </cacheField>
    <cacheField name="EOWIARACECOUNT_CountOfSEEKER_ID" numFmtId="0">
      <sharedItems containsSemiMixedTypes="0" containsString="0" containsNumber="1" containsInteger="1" minValue="118" maxValue="1843" count="12">
        <n v="196"/>
        <n v="333"/>
        <n v="150"/>
        <n v="524"/>
        <n v="1843"/>
        <n v="522"/>
        <n v="416"/>
        <n v="192"/>
        <n v="342"/>
        <n v="118"/>
        <n v="160"/>
        <n v="224"/>
      </sharedItems>
    </cacheField>
    <cacheField name="EOWIAAGECOUNT_CountOfSEEKER_ID" numFmtId="0">
      <sharedItems containsSemiMixedTypes="0" containsString="0" containsNumber="1" containsInteger="1" minValue="60" maxValue="597" count="12">
        <n v="171"/>
        <n v="352"/>
        <n v="117"/>
        <n v="466"/>
        <n v="597"/>
        <n v="168"/>
        <n v="369"/>
        <n v="146"/>
        <n v="145"/>
        <n v="66"/>
        <n v="60"/>
        <n v="193"/>
      </sharedItems>
    </cacheField>
    <cacheField name="EOWIADSISABILITYCOUNT_CountOfSEEKER_ID" numFmtId="0">
      <sharedItems containsSemiMixedTypes="0" containsString="0" containsNumber="1" containsInteger="1" minValue="31" maxValue="256" count="12">
        <n v="54"/>
        <n v="126"/>
        <n v="31"/>
        <n v="210"/>
        <n v="256"/>
        <n v="87"/>
        <n v="193"/>
        <n v="85"/>
        <n v="68"/>
        <n v="97"/>
        <n v="38"/>
        <n v="103"/>
      </sharedItems>
    </cacheField>
    <cacheField name="EDUCATIONWIACOUNT_CountOfSEEKER_ID" numFmtId="0">
      <sharedItems containsSemiMixedTypes="0" containsString="0" containsNumber="1" containsInteger="1" minValue="361" maxValue="2662" count="12">
        <n v="796"/>
        <n v="1736"/>
        <n v="645"/>
        <n v="1511"/>
        <n v="2662"/>
        <n v="843"/>
        <n v="1905"/>
        <n v="727"/>
        <n v="868"/>
        <n v="459"/>
        <n v="361"/>
        <n v="1056"/>
      </sharedItems>
    </cacheField>
    <cacheField name="HSWIACOUNT_CountOfSEEKER_ID" numFmtId="0">
      <sharedItems containsSemiMixedTypes="0" containsString="0" containsNumber="1" containsInteger="1" minValue="322" maxValue="2566" count="12">
        <n v="770"/>
        <n v="1634"/>
        <n v="616"/>
        <n v="1431"/>
        <n v="2566"/>
        <n v="788"/>
        <n v="1798"/>
        <n v="638"/>
        <n v="794"/>
        <n v="435"/>
        <n v="322"/>
        <n v="1025"/>
      </sharedItems>
    </cacheField>
    <cacheField name="COLLEGEWIACOUNT_CountOfSEEKER_ID" numFmtId="0">
      <sharedItems containsSemiMixedTypes="0" containsString="0" containsNumber="1" containsInteger="1" minValue="23" maxValue="937" count="12">
        <n v="118"/>
        <n v="133"/>
        <n v="116"/>
        <n v="373"/>
        <n v="937"/>
        <n v="97"/>
        <n v="218"/>
        <n v="47"/>
        <n v="33"/>
        <n v="23"/>
        <n v="27"/>
        <n v="179"/>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swheeler" refreshedDate="40939.435278819445" createdVersion="3" refreshedVersion="3" minRefreshableVersion="3" recordCount="13">
  <cacheSource type="external" connectionId="14"/>
  <cacheFields count="4">
    <cacheField name="REGIONID" numFmtId="0">
      <sharedItems containsSemiMixedTypes="0" containsString="0" containsNumber="1" containsInteger="1" minValue="1" maxValue="13" count="13">
        <n v="1"/>
        <n v="10"/>
        <n v="11"/>
        <n v="12"/>
        <n v="13"/>
        <n v="2"/>
        <n v="3"/>
        <n v="4"/>
        <n v="5"/>
        <n v="6"/>
        <n v="7"/>
        <n v="8"/>
        <n v="9"/>
      </sharedItems>
    </cacheField>
    <cacheField name="OVER25COUNT_CountOfSEEKERID" numFmtId="0">
      <sharedItems containsSemiMixedTypes="0" containsString="0" containsNumber="1" containsInteger="1" minValue="2346" maxValue="71164" count="13">
        <n v="16437"/>
        <n v="12340"/>
        <n v="14374"/>
        <n v="22955"/>
        <n v="2346"/>
        <n v="27105"/>
        <n v="17266"/>
        <n v="39410"/>
        <n v="71164"/>
        <n v="33473"/>
        <n v="23241"/>
        <n v="25806"/>
        <n v="23217"/>
      </sharedItems>
    </cacheField>
    <cacheField name="HSCOUNT_CountOfSEEKERID" numFmtId="0">
      <sharedItems containsSemiMixedTypes="0" containsString="0" containsNumber="1" containsInteger="1" minValue="2064" maxValue="66035" count="13">
        <n v="15382"/>
        <n v="10868"/>
        <n v="10274"/>
        <n v="21323"/>
        <n v="2064"/>
        <n v="24415"/>
        <n v="15437"/>
        <n v="36302"/>
        <n v="66035"/>
        <n v="30654"/>
        <n v="21253"/>
        <n v="16734"/>
        <n v="15527"/>
      </sharedItems>
    </cacheField>
    <cacheField name="COLLEGECOUNT_CountOfSEEKERID" numFmtId="0">
      <sharedItems containsSemiMixedTypes="0" containsString="0" containsNumber="1" containsInteger="1" minValue="119" maxValue="20086" count="13">
        <n v="2437"/>
        <n v="1480"/>
        <n v="1360"/>
        <n v="3439"/>
        <n v="119"/>
        <n v="2968"/>
        <n v="2836"/>
        <n v="6709"/>
        <n v="20086"/>
        <n v="4291"/>
        <n v="2942"/>
        <n v="1635"/>
        <n v="1632"/>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swheeler" refreshedDate="40940.667812500003" createdVersion="3" refreshedVersion="3" minRefreshableVersion="3" recordCount="1">
  <cacheSource type="external" connectionId="28"/>
  <cacheFields count="5">
    <cacheField name="CountOfSEEKERID" numFmtId="0">
      <sharedItems containsSemiMixedTypes="0" containsString="0" containsNumber="1" containsInteger="1" minValue="69831" maxValue="69831" count="1">
        <n v="69831"/>
      </sharedItems>
    </cacheField>
    <cacheField name="CountOfSERVICEDATE" numFmtId="0">
      <sharedItems containsSemiMixedTypes="0" containsString="0" containsNumber="1" containsInteger="1" minValue="222474" maxValue="222474" count="1">
        <n v="222474"/>
      </sharedItems>
    </cacheField>
    <cacheField name="OldWages" numFmtId="0">
      <sharedItems containsSemiMixedTypes="0" containsString="0" containsNumber="1" minValue="18588.98" maxValue="18588.98" count="1">
        <n v="18588.98"/>
      </sharedItems>
    </cacheField>
    <cacheField name="NewWages" numFmtId="0">
      <sharedItems containsSemiMixedTypes="0" containsString="0" containsNumber="1" minValue="15091.01" maxValue="15091.01" count="1">
        <n v="15091.01"/>
      </sharedItems>
    </cacheField>
    <cacheField name="AvgOfDuration" numFmtId="0">
      <sharedItems containsSemiMixedTypes="0" containsString="0" containsNumber="1" minValue="15.667737494263424" maxValue="15.667737494263424" count="1">
        <n v="15.667737494263424"/>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swheeler" refreshedDate="40941.415805324075" createdVersion="3" refreshedVersion="3" minRefreshableVersion="3" recordCount="1">
  <cacheSource type="external" connectionId="29"/>
  <cacheFields count="5">
    <cacheField name="EOSeekersServedCount_CountOfSEEKERID" numFmtId="0">
      <sharedItems containsSemiMixedTypes="0" containsString="0" containsNumber="1" containsInteger="1" minValue="368525" maxValue="368525" count="1">
        <n v="368525"/>
      </sharedItems>
    </cacheField>
    <cacheField name="EOGenderCount_CountOfSEEKERID" numFmtId="0">
      <sharedItems containsSemiMixedTypes="0" containsString="0" containsNumber="1" containsInteger="1" minValue="158979" maxValue="158979" count="1">
        <n v="158979"/>
      </sharedItems>
    </cacheField>
    <cacheField name="EORaceCount_CountOfSEEKERID" numFmtId="0">
      <sharedItems containsSemiMixedTypes="0" containsString="0" containsNumber="1" containsInteger="1" minValue="114771" maxValue="114771" count="1">
        <n v="114771"/>
      </sharedItems>
    </cacheField>
    <cacheField name="EOAgeCount_CountOfSEEKERID" numFmtId="0">
      <sharedItems containsSemiMixedTypes="0" containsString="0" containsNumber="1" containsInteger="1" minValue="66783" maxValue="66783" count="1">
        <n v="66783"/>
      </sharedItems>
    </cacheField>
    <cacheField name="EODisabilityCount_CountOfSEEKERID" numFmtId="0">
      <sharedItems containsSemiMixedTypes="0" containsString="0" containsNumber="1" containsInteger="1" minValue="15637" maxValue="15637" count="1">
        <n v="15637"/>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swheeler" refreshedDate="40941.421291666666" createdVersion="3" refreshedVersion="3" minRefreshableVersion="3" recordCount="1">
  <cacheSource type="external" connectionId="30"/>
  <cacheFields count="8">
    <cacheField name="EOWIASEEKERCOUNT_CountOfSEEKER_ID" numFmtId="0">
      <sharedItems containsSemiMixedTypes="0" containsString="0" containsNumber="1" containsInteger="1" minValue="18764" maxValue="18764" count="1">
        <n v="18764"/>
      </sharedItems>
    </cacheField>
    <cacheField name="EOWIAGENDERCOUNT_CountOfSEEKER_ID" numFmtId="0">
      <sharedItems containsSemiMixedTypes="0" containsString="0" containsNumber="1" containsInteger="1" minValue="9561" maxValue="9561" count="1">
        <n v="9561"/>
      </sharedItems>
    </cacheField>
    <cacheField name="EOWIARACECOUNT_CountOfSEEKER_ID" numFmtId="0">
      <sharedItems containsSemiMixedTypes="0" containsString="0" containsNumber="1" containsInteger="1" minValue="5017" maxValue="5017" count="1">
        <n v="5017"/>
      </sharedItems>
    </cacheField>
    <cacheField name="EOWIAAGECOUNT_CountOfSEEKER_ID" numFmtId="0">
      <sharedItems containsSemiMixedTypes="0" containsString="0" containsNumber="1" containsInteger="1" minValue="2845" maxValue="2845" count="1">
        <n v="2845"/>
      </sharedItems>
    </cacheField>
    <cacheField name="EOWIADSISABILITYCOUNT_CountOfSEEKER_ID" numFmtId="0">
      <sharedItems containsSemiMixedTypes="0" containsString="0" containsNumber="1" containsInteger="1" minValue="1347" maxValue="1347" count="1">
        <n v="1347"/>
      </sharedItems>
    </cacheField>
    <cacheField name="EDUCATIONWIACOUNT_CountOfSEEKER_ID" numFmtId="0">
      <sharedItems containsSemiMixedTypes="0" containsString="0" containsNumber="1" containsInteger="1" minValue="13559" maxValue="13559" count="1">
        <n v="13559"/>
      </sharedItems>
    </cacheField>
    <cacheField name="HSWIACOUNT_CountOfSEEKER_ID" numFmtId="0">
      <sharedItems containsSemiMixedTypes="0" containsString="0" containsNumber="1" containsInteger="1" minValue="12807" maxValue="12807" count="1">
        <n v="12807"/>
      </sharedItems>
    </cacheField>
    <cacheField name="COLLEGEWIACOUNT_CountOfSEEKER_ID" numFmtId="0">
      <sharedItems containsSemiMixedTypes="0" containsString="0" containsNumber="1" containsInteger="1" minValue="2301" maxValue="2301" count="1">
        <n v="2301"/>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swheeler" refreshedDate="40942.37311296296" createdVersion="3" refreshedVersion="3" minRefreshableVersion="3" recordCount="1">
  <cacheSource type="external" connectionId="39"/>
  <cacheFields count="4">
    <cacheField name="Assessments" numFmtId="0">
      <sharedItems containsSemiMixedTypes="0" containsString="0" containsNumber="1" containsInteger="1" minValue="45780" maxValue="45780" count="1">
        <n v="45780"/>
      </sharedItems>
    </cacheField>
    <cacheField name="SkillDevelopment" numFmtId="0">
      <sharedItems containsSemiMixedTypes="0" containsString="0" containsNumber="1" containsInteger="1" minValue="5887" maxValue="5887" count="1">
        <n v="5887"/>
      </sharedItems>
    </cacheField>
    <cacheField name="JobSearch" numFmtId="0">
      <sharedItems containsSemiMixedTypes="0" containsString="0" containsNumber="1" containsInteger="1" minValue="77118" maxValue="77118" count="1">
        <n v="77118"/>
      </sharedItems>
    </cacheField>
    <cacheField name="CommunityReferral" numFmtId="0">
      <sharedItems containsSemiMixedTypes="0" containsString="0" containsNumber="1" containsInteger="1" minValue="3252" maxValue="3252" count="1">
        <n v="3252"/>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swheeler" refreshedDate="40952.686086574075" createdVersion="3" refreshedVersion="3" minRefreshableVersion="3" recordCount="12">
  <cacheSource type="external" connectionId="18"/>
  <cacheFields count="9">
    <cacheField name="REGION_ID" numFmtId="0">
      <sharedItems containsSemiMixedTypes="0" containsString="0" containsNumber="1" containsInteger="1" minValue="1" maxValue="13" count="13">
        <n v="1"/>
        <n v="10"/>
        <n v="11"/>
        <n v="12"/>
        <n v="2"/>
        <n v="3"/>
        <n v="4"/>
        <n v="5"/>
        <n v="6"/>
        <n v="7"/>
        <n v="8"/>
        <n v="9"/>
        <n v="13" u="1"/>
      </sharedItems>
    </cacheField>
    <cacheField name="all" numFmtId="0">
      <sharedItems containsSemiMixedTypes="0" containsString="0" containsNumber="1" containsInteger="1" minValue="6821" maxValue="35395" count="12">
        <n v="9102"/>
        <n v="6821"/>
        <n v="10103"/>
        <n v="12133"/>
        <n v="14734"/>
        <n v="11167"/>
        <n v="18315"/>
        <n v="35395"/>
        <n v="18400"/>
        <n v="13740"/>
        <n v="13733"/>
        <n v="11344"/>
      </sharedItems>
    </cacheField>
    <cacheField name="self" numFmtId="0">
      <sharedItems containsSemiMixedTypes="0" containsString="0" containsNumber="1" containsInteger="1" minValue="1620" maxValue="14750" count="12">
        <n v="3851"/>
        <n v="1620"/>
        <n v="3335"/>
        <n v="6348"/>
        <n v="6396"/>
        <n v="6006"/>
        <n v="5543"/>
        <n v="14750"/>
        <n v="9480"/>
        <n v="6704"/>
        <n v="2883"/>
        <n v="3389"/>
      </sharedItems>
    </cacheField>
    <cacheField name="staffassist" numFmtId="0">
      <sharedItems containsSemiMixedTypes="0" containsString="0" containsNumber="1" containsInteger="1" minValue="5161" maxValue="20645" count="12">
        <n v="5251"/>
        <n v="5201"/>
        <n v="6768"/>
        <n v="5785"/>
        <n v="8338"/>
        <n v="5161"/>
        <n v="12772"/>
        <n v="20645"/>
        <n v="8920"/>
        <n v="7036"/>
        <n v="10850"/>
        <n v="7955"/>
      </sharedItems>
    </cacheField>
    <cacheField name="core" numFmtId="0">
      <sharedItems containsSemiMixedTypes="0" containsString="0" containsNumber="1" containsInteger="1" minValue="4016" maxValue="18490" count="12">
        <n v="4510"/>
        <n v="4016"/>
        <n v="6452"/>
        <n v="4674"/>
        <n v="6971"/>
        <n v="4838"/>
        <n v="11442"/>
        <n v="18490"/>
        <n v="7415"/>
        <n v="5834"/>
        <n v="10240"/>
        <n v="7182"/>
      </sharedItems>
    </cacheField>
    <cacheField name="coreint" numFmtId="0">
      <sharedItems containsSemiMixedTypes="0" containsString="0" containsNumber="1" containsInteger="1" minValue="250" maxValue="1813" count="12">
        <n v="630"/>
        <n v="1019"/>
        <n v="254"/>
        <n v="994"/>
        <n v="1048"/>
        <n v="250"/>
        <n v="1124"/>
        <n v="1813"/>
        <n v="1326"/>
        <n v="1016"/>
        <n v="510"/>
        <n v="560"/>
      </sharedItems>
    </cacheField>
    <cacheField name="newtraining" numFmtId="0">
      <sharedItems containsSemiMixedTypes="0" containsString="0" containsNumber="1" containsInteger="1" minValue="62" maxValue="420" count="11">
        <n v="99"/>
        <n v="118"/>
        <n v="62"/>
        <n v="105"/>
        <n v="173"/>
        <n v="75"/>
        <n v="420"/>
        <n v="357"/>
        <n v="210"/>
        <n v="135"/>
        <n v="78"/>
      </sharedItems>
    </cacheField>
    <cacheField name="ongoing" numFmtId="0">
      <sharedItems containsSemiMixedTypes="0" containsString="0" containsNumber="1" containsInteger="1" minValue="133" maxValue="1606" count="12">
        <n v="380"/>
        <n v="595"/>
        <n v="133"/>
        <n v="452"/>
        <n v="989"/>
        <n v="366"/>
        <n v="758"/>
        <n v="1606"/>
        <n v="586"/>
        <n v="735"/>
        <n v="320"/>
        <n v="596"/>
      </sharedItems>
    </cacheField>
    <cacheField name="complete" numFmtId="0">
      <sharedItems containsSemiMixedTypes="0" containsString="0" containsNumber="1" containsInteger="1" minValue="41" maxValue="373" count="12">
        <n v="102"/>
        <n v="77"/>
        <n v="41"/>
        <n v="130"/>
        <n v="222"/>
        <n v="74"/>
        <n v="144"/>
        <n v="373"/>
        <n v="73"/>
        <n v="228"/>
        <n v="68"/>
        <n v="29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swheeler" refreshedDate="40952.686110532406" createdVersion="3" refreshedVersion="3" minRefreshableVersion="3" recordCount="12">
  <cacheSource type="external" connectionId="19"/>
  <cacheFields count="5">
    <cacheField name="REGIONID" numFmtId="0">
      <sharedItems containsSemiMixedTypes="0" containsString="0" containsNumber="1" containsInteger="1" minValue="1" maxValue="12" count="12">
        <n v="1"/>
        <n v="10"/>
        <n v="11"/>
        <n v="12"/>
        <n v="2"/>
        <n v="3"/>
        <n v="4"/>
        <n v="5"/>
        <n v="6"/>
        <n v="7"/>
        <n v="8"/>
        <n v="9"/>
      </sharedItems>
    </cacheField>
    <cacheField name="Assessments" numFmtId="0">
      <sharedItems containsSemiMixedTypes="0" containsString="0" containsNumber="1" containsInteger="1" minValue="2274" maxValue="6770" count="12">
        <n v="2274"/>
        <n v="2471"/>
        <n v="3069"/>
        <n v="3278"/>
        <n v="3031"/>
        <n v="2926"/>
        <n v="3436"/>
        <n v="6770"/>
        <n v="4923"/>
        <n v="3697"/>
        <n v="5119"/>
        <n v="4851"/>
      </sharedItems>
    </cacheField>
    <cacheField name="SkillDevelopment" numFmtId="0">
      <sharedItems containsSemiMixedTypes="0" containsString="0" containsNumber="1" containsInteger="1" minValue="253" maxValue="1481" count="11">
        <n v="611"/>
        <n v="348"/>
        <n v="253"/>
        <n v="387"/>
        <n v="302"/>
        <n v="325"/>
        <n v="652"/>
        <n v="1481"/>
        <n v="404"/>
        <n v="308"/>
        <n v="453"/>
      </sharedItems>
    </cacheField>
    <cacheField name="JobSearch" numFmtId="0">
      <sharedItems containsSemiMixedTypes="0" containsString="0" containsNumber="1" containsInteger="1" minValue="3888" maxValue="12312" count="12">
        <n v="3888"/>
        <n v="4513"/>
        <n v="5728"/>
        <n v="4611"/>
        <n v="6418"/>
        <n v="3977"/>
        <n v="8456"/>
        <n v="12312"/>
        <n v="6902"/>
        <n v="5190"/>
        <n v="9419"/>
        <n v="6373"/>
      </sharedItems>
    </cacheField>
    <cacheField name="CommunityReferral" numFmtId="0">
      <sharedItems containsSemiMixedTypes="0" containsString="0" containsNumber="1" containsInteger="1" minValue="2" maxValue="651" count="12">
        <n v="41"/>
        <n v="450"/>
        <n v="525"/>
        <n v="2"/>
        <n v="177"/>
        <n v="120"/>
        <n v="324"/>
        <n v="625"/>
        <n v="127"/>
        <n v="57"/>
        <n v="166"/>
        <n v="651"/>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swheeler" refreshedDate="40952.688250694446" createdVersion="3" refreshedVersion="3" minRefreshableVersion="3" recordCount="12">
  <cacheSource type="external" connectionId="15"/>
  <cacheFields count="9">
    <cacheField name="REGIONID" numFmtId="0">
      <sharedItems containsSemiMixedTypes="0" containsString="0" containsNumber="1" containsInteger="1" minValue="1" maxValue="12" count="12">
        <n v="1"/>
        <n v="10"/>
        <n v="11"/>
        <n v="12"/>
        <n v="2"/>
        <n v="3"/>
        <n v="4"/>
        <n v="5"/>
        <n v="6"/>
        <n v="7"/>
        <n v="8"/>
        <n v="9"/>
      </sharedItems>
    </cacheField>
    <cacheField name="current" numFmtId="0">
      <sharedItems containsSemiMixedTypes="0" containsString="0" containsNumber="1" containsInteger="1" minValue="52" maxValue="713" count="12">
        <n v="275"/>
        <n v="537"/>
        <n v="713"/>
        <n v="52"/>
        <n v="218"/>
        <n v="173"/>
        <n v="186"/>
        <n v="212"/>
        <n v="81"/>
        <n v="178"/>
        <n v="665"/>
        <n v="183"/>
      </sharedItems>
    </cacheField>
    <cacheField name="Lastyear" numFmtId="0">
      <sharedItems containsSemiMixedTypes="0" containsString="0" containsNumber="1" containsInteger="1" minValue="71" maxValue="574" count="12">
        <n v="544"/>
        <n v="180"/>
        <n v="374"/>
        <n v="71"/>
        <n v="385"/>
        <n v="571"/>
        <n v="349"/>
        <n v="182"/>
        <n v="186"/>
        <n v="526"/>
        <n v="574"/>
        <n v="246"/>
      </sharedItems>
    </cacheField>
    <cacheField name="CurrentSalary" numFmtId="0">
      <sharedItems containsSemiMixedTypes="0" containsString="0" containsNumber="1" minValue="9.25" maxValue="13.49" count="12">
        <n v="10.91"/>
        <n v="10.65"/>
        <n v="9.76"/>
        <n v="12.5"/>
        <n v="10.85"/>
        <n v="11.24"/>
        <n v="9.66"/>
        <n v="10.61"/>
        <n v="11.95"/>
        <n v="13.49"/>
        <n v="10.43"/>
        <n v="9.25"/>
      </sharedItems>
    </cacheField>
    <cacheField name="Lastyearsalary" numFmtId="0">
      <sharedItems containsSemiMixedTypes="0" containsString="0" containsNumber="1" minValue="9.08" maxValue="16.63" count="12">
        <n v="11.48"/>
        <n v="11.16"/>
        <n v="9.89"/>
        <n v="12.63"/>
        <n v="16.63"/>
        <n v="15.99"/>
        <n v="10.53"/>
        <n v="10.5"/>
        <n v="10.82"/>
        <n v="12.04"/>
        <n v="11.67"/>
        <n v="9.08"/>
      </sharedItems>
    </cacheField>
    <cacheField name="CurrentJOs" numFmtId="0">
      <sharedItems containsSemiMixedTypes="0" containsString="0" containsNumber="1" minValue="10.95157534246545" maxValue="15.407555555555129" count="12">
        <n v="11.987848101264852"/>
        <n v="11.833088803091158"/>
        <n v="12.109271844659322"/>
        <n v="11.980703517588532"/>
        <n v="12.190973451330484"/>
        <n v="14.145812499999597"/>
        <n v="14.041515151515304"/>
        <n v="15.407555555555129"/>
        <n v="14.748507462686341"/>
        <n v="14.915369458129314"/>
        <n v="13.452953216371771"/>
        <n v="10.95157534246545"/>
      </sharedItems>
    </cacheField>
    <cacheField name="LastYears" numFmtId="0">
      <sharedItems containsSemiMixedTypes="0" containsString="0" containsNumber="1" minValue="11.388695652171885" maxValue="16.417532467532073" count="12">
        <n v="13.570255474451312"/>
        <n v="11.456655052269861"/>
        <n v="14.90764705882653"/>
        <n v="12.246512455518324"/>
        <n v="12.624551971331449"/>
        <n v="12.464186991869058"/>
        <n v="15.257208872453269"/>
        <n v="15.731979949873942"/>
        <n v="16.417532467532073"/>
        <n v="14.05456876457071"/>
        <n v="13.013647642686184"/>
        <n v="11.388695652171885"/>
      </sharedItems>
    </cacheField>
    <cacheField name="4JobOrdersMatching NAICS_CountOfJOB_ORDER_ID" numFmtId="0">
      <sharedItems containsSemiMixedTypes="0" containsString="0" containsNumber="1" containsInteger="1" minValue="28" maxValue="3672" count="12">
        <n v="416"/>
        <n v="28"/>
        <n v="267"/>
        <n v="467"/>
        <n v="330"/>
        <n v="956"/>
        <n v="912"/>
        <n v="3672"/>
        <n v="645"/>
        <n v="328"/>
        <n v="150"/>
        <n v="158"/>
      </sharedItems>
    </cacheField>
    <cacheField name="4JobOrdersMatching NAICS LastYear_CountOfJOB_ORDER_ID" numFmtId="0">
      <sharedItems containsSemiMixedTypes="0" containsString="0" containsNumber="1" containsInteger="1" minValue="40" maxValue="3319" count="12">
        <n v="491"/>
        <n v="40"/>
        <n v="360"/>
        <n v="429"/>
        <n v="257"/>
        <n v="563"/>
        <n v="1631"/>
        <n v="3319"/>
        <n v="685"/>
        <n v="338"/>
        <n v="145"/>
        <n v="208"/>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swheeler" refreshedDate="40952.705107870373" createdVersion="3" refreshedVersion="3" minRefreshableVersion="3" recordCount="13">
  <cacheSource type="external" connectionId="21"/>
  <cacheFields count="9">
    <cacheField name="REGIONID" numFmtId="0">
      <sharedItems containsSemiMixedTypes="0" containsString="0" containsNumber="1" containsInteger="1" minValue="1" maxValue="13" count="13">
        <n v="1"/>
        <n v="10"/>
        <n v="11"/>
        <n v="12"/>
        <n v="13"/>
        <n v="2"/>
        <n v="3"/>
        <n v="4"/>
        <n v="5"/>
        <n v="6"/>
        <n v="7"/>
        <n v="8"/>
        <n v="9"/>
      </sharedItems>
    </cacheField>
    <cacheField name="3COUNT OF JOB ORDERS AND JOB OPENINGS_CountOfJOB_ORDER_ID" numFmtId="0">
      <sharedItems containsSemiMixedTypes="0" containsString="0" containsNumber="1" containsInteger="1" minValue="3" maxValue="637" count="13">
        <n v="266"/>
        <n v="280"/>
        <n v="234"/>
        <n v="308"/>
        <n v="3"/>
        <n v="341"/>
        <n v="181"/>
        <n v="502"/>
        <n v="436"/>
        <n v="175"/>
        <n v="384"/>
        <n v="637"/>
        <n v="282"/>
      </sharedItems>
    </cacheField>
    <cacheField name="3COUNT OF JOB ORDERS AND JOB OPENINGS_SumOfJOB OPENINGS" numFmtId="0">
      <sharedItems containsSemiMixedTypes="0" containsString="0" containsNumber="1" containsInteger="1" minValue="230" maxValue="1786" count="13">
        <n v="552"/>
        <n v="655"/>
        <n v="930"/>
        <n v="412"/>
        <n v="230"/>
        <n v="594"/>
        <n v="347"/>
        <n v="962"/>
        <n v="912"/>
        <n v="319"/>
        <n v="501"/>
        <n v="1786"/>
        <n v="868"/>
      </sharedItems>
    </cacheField>
    <cacheField name="3CountOfJobORders1YearAgo_CountOfJOB_ORDER_ID" numFmtId="0">
      <sharedItems containsSemiMixedTypes="0" containsString="0" containsNumber="1" containsInteger="1" minValue="8" maxValue="847" count="13">
        <n v="532"/>
        <n v="323"/>
        <n v="347"/>
        <n v="408"/>
        <n v="8"/>
        <n v="412"/>
        <n v="250"/>
        <n v="847"/>
        <n v="643"/>
        <n v="341"/>
        <n v="735"/>
        <n v="594"/>
        <n v="374"/>
      </sharedItems>
    </cacheField>
    <cacheField name="3CountOfJobORders1YearAgo_SumOfJOB OPENINGS" numFmtId="0">
      <sharedItems containsSemiMixedTypes="0" containsString="0" containsNumber="1" containsInteger="1" minValue="162" maxValue="1306" count="13">
        <n v="1018"/>
        <n v="411"/>
        <n v="828"/>
        <n v="530"/>
        <n v="162"/>
        <n v="1097"/>
        <n v="695"/>
        <n v="1121"/>
        <n v="1306"/>
        <n v="751"/>
        <n v="977"/>
        <n v="922"/>
        <n v="1020"/>
      </sharedItems>
    </cacheField>
    <cacheField name="3CountOfEmployersServed_CountOfEMPLOYER_ID" numFmtId="0">
      <sharedItems containsSemiMixedTypes="0" containsString="0" containsNumber="1" containsInteger="1" minValue="3" maxValue="1064" count="13">
        <n v="421"/>
        <n v="751"/>
        <n v="600"/>
        <n v="425"/>
        <n v="3"/>
        <n v="1039"/>
        <n v="657"/>
        <n v="967"/>
        <n v="1064"/>
        <n v="932"/>
        <n v="474"/>
        <n v="795"/>
        <n v="597"/>
      </sharedItems>
    </cacheField>
    <cacheField name="3CountOfEmployersServed1YearAgo_CountOfEMPLOYER_ID" numFmtId="0">
      <sharedItems containsSemiMixedTypes="0" containsString="0" containsNumber="1" containsInteger="1" minValue="8" maxValue="1445" count="13">
        <n v="638"/>
        <n v="900"/>
        <n v="626"/>
        <n v="616"/>
        <n v="8"/>
        <n v="1405"/>
        <n v="852"/>
        <n v="1445"/>
        <n v="1442"/>
        <n v="1269"/>
        <n v="729"/>
        <n v="728"/>
        <n v="682"/>
      </sharedItems>
    </cacheField>
    <cacheField name="4CountAllJobOrders_CountOfJOB_ORDER_ID" numFmtId="0">
      <sharedItems containsSemiMixedTypes="0" containsString="0" containsNumber="1" containsInteger="1" minValue="249" maxValue="8072" count="13">
        <n v="783"/>
        <n v="249"/>
        <n v="762"/>
        <n v="1577"/>
        <n v="500"/>
        <n v="1074"/>
        <n v="1737"/>
        <n v="2028"/>
        <n v="8072"/>
        <n v="1396"/>
        <n v="830"/>
        <n v="821"/>
        <n v="669"/>
      </sharedItems>
    </cacheField>
    <cacheField name="lastyearJOS" numFmtId="0">
      <sharedItems containsSemiMixedTypes="0" containsString="0" containsNumber="1" containsInteger="1" minValue="372" maxValue="7966" count="13">
        <n v="977"/>
        <n v="372"/>
        <n v="929"/>
        <n v="1331"/>
        <n v="431"/>
        <n v="1031"/>
        <n v="1302"/>
        <n v="2988"/>
        <n v="7966"/>
        <n v="1463"/>
        <n v="824"/>
        <n v="675"/>
        <n v="725"/>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swheeler" refreshedDate="40953.38422511574" createdVersion="3" refreshedVersion="3" minRefreshableVersion="3" recordCount="12">
  <cacheSource type="external" connectionId="20"/>
  <cacheFields count="9">
    <cacheField name="REGIONID" numFmtId="0">
      <sharedItems containsSemiMixedTypes="0" containsString="0" containsNumber="1" containsInteger="1" minValue="1" maxValue="12" count="12">
        <n v="1"/>
        <n v="10"/>
        <n v="11"/>
        <n v="12"/>
        <n v="2"/>
        <n v="3"/>
        <n v="4"/>
        <n v="5"/>
        <n v="6"/>
        <n v="7"/>
        <n v="8"/>
        <n v="9"/>
      </sharedItems>
    </cacheField>
    <cacheField name="currentprogram" numFmtId="0">
      <sharedItems containsSemiMixedTypes="0" containsString="0" containsNumber="1" containsInteger="1" minValue="435" maxValue="4558" count="12">
        <n v="638"/>
        <n v="4558"/>
        <n v="435"/>
        <n v="1114"/>
        <n v="1948"/>
        <n v="603"/>
        <n v="1633"/>
        <n v="2944"/>
        <n v="1724"/>
        <n v="1363"/>
        <n v="598"/>
        <n v="895"/>
      </sharedItems>
    </cacheField>
    <cacheField name="program1yearago" numFmtId="0">
      <sharedItems containsSemiMixedTypes="0" containsString="0" containsNumber="1" containsInteger="1" minValue="428" maxValue="4823" count="12">
        <n v="895"/>
        <n v="4823"/>
        <n v="428"/>
        <n v="1589"/>
        <n v="1776"/>
        <n v="904"/>
        <n v="1714"/>
        <n v="3123"/>
        <n v="1707"/>
        <n v="2006"/>
        <n v="768"/>
        <n v="1003"/>
      </sharedItems>
    </cacheField>
    <cacheField name="wiacurrent" numFmtId="0">
      <sharedItems containsSemiMixedTypes="0" containsString="0" containsNumber="1" containsInteger="1" minValue="337" maxValue="2020" count="12">
        <n v="428"/>
        <n v="378"/>
        <n v="337"/>
        <n v="796"/>
        <n v="1022"/>
        <n v="440"/>
        <n v="1333"/>
        <n v="2020"/>
        <n v="641"/>
        <n v="762"/>
        <n v="483"/>
        <n v="584"/>
      </sharedItems>
    </cacheField>
    <cacheField name="wia1yearago" numFmtId="0">
      <sharedItems containsSemiMixedTypes="0" containsString="0" containsNumber="1" containsInteger="1" minValue="344" maxValue="2136" count="12">
        <n v="588"/>
        <n v="478"/>
        <n v="344"/>
        <n v="924"/>
        <n v="1542"/>
        <n v="581"/>
        <n v="1453"/>
        <n v="2136"/>
        <n v="873"/>
        <n v="1161"/>
        <n v="642"/>
        <n v="760"/>
      </sharedItems>
    </cacheField>
    <cacheField name="wianewcurrent" numFmtId="0">
      <sharedItems containsSemiMixedTypes="0" containsString="0" containsNumber="1" containsInteger="1" minValue="40" maxValue="345" count="11">
        <n v="91"/>
        <n v="64"/>
        <n v="125"/>
        <n v="142"/>
        <n v="83"/>
        <n v="65"/>
        <n v="156"/>
        <n v="345"/>
        <n v="40"/>
        <n v="151"/>
        <n v="71"/>
      </sharedItems>
    </cacheField>
    <cacheField name="wianew1yearago" numFmtId="0">
      <sharedItems containsSemiMixedTypes="0" containsString="0" containsNumber="1" containsInteger="1" minValue="70" maxValue="354" count="10">
        <n v="132"/>
        <n v="70"/>
        <n v="109"/>
        <n v="194"/>
        <n v="131"/>
        <n v="193"/>
        <n v="354"/>
        <n v="101"/>
        <n v="218"/>
        <n v="102"/>
      </sharedItems>
    </cacheField>
    <cacheField name="wiaexitcurrent" numFmtId="0">
      <sharedItems containsSemiMixedTypes="0" containsString="0" containsNumber="1" containsInteger="1" minValue="41" maxValue="251" count="12">
        <n v="91"/>
        <n v="61"/>
        <n v="41"/>
        <n v="133"/>
        <n v="126"/>
        <n v="76"/>
        <n v="211"/>
        <n v="251"/>
        <n v="65"/>
        <n v="186"/>
        <n v="77"/>
        <n v="83"/>
      </sharedItems>
    </cacheField>
    <cacheField name="wiaexit1yearago" numFmtId="0">
      <sharedItems containsSemiMixedTypes="0" containsString="0" containsNumber="1" containsInteger="1" minValue="71" maxValue="329" count="12">
        <n v="168"/>
        <n v="80"/>
        <n v="71"/>
        <n v="128"/>
        <n v="161"/>
        <n v="81"/>
        <n v="167"/>
        <n v="329"/>
        <n v="160"/>
        <n v="316"/>
        <n v="117"/>
        <n v="76"/>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swheeler" refreshedDate="40954.642411574074" createdVersion="3" refreshedVersion="3" minRefreshableVersion="3" recordCount="1">
  <cacheSource type="external" connectionId="38"/>
  <cacheFields count="8">
    <cacheField name="all" numFmtId="0">
      <sharedItems containsSemiMixedTypes="0" containsString="0" containsNumber="1" containsInteger="1" minValue="170822" maxValue="170822" count="1">
        <n v="170822"/>
      </sharedItems>
    </cacheField>
    <cacheField name="self" numFmtId="0">
      <sharedItems containsSemiMixedTypes="0" containsString="0" containsNumber="1" containsInteger="1" minValue="67274" maxValue="67274" count="1">
        <n v="67274"/>
      </sharedItems>
    </cacheField>
    <cacheField name="staffassist" numFmtId="0">
      <sharedItems containsSemiMixedTypes="0" containsString="0" containsNumber="1" containsInteger="1" minValue="103548" maxValue="103548" count="1">
        <n v="103548"/>
      </sharedItems>
    </cacheField>
    <cacheField name="core" numFmtId="0">
      <sharedItems containsSemiMixedTypes="0" containsString="0" containsNumber="1" containsInteger="1" minValue="90872" maxValue="90872" count="1">
        <n v="90872"/>
      </sharedItems>
    </cacheField>
    <cacheField name="coreint" numFmtId="0">
      <sharedItems containsSemiMixedTypes="0" containsString="0" containsNumber="1" containsInteger="1" minValue="10634" maxValue="10634" count="1">
        <n v="10634"/>
      </sharedItems>
    </cacheField>
    <cacheField name="newtraining" numFmtId="0">
      <sharedItems containsSemiMixedTypes="0" containsString="0" containsNumber="1" containsInteger="1" minValue="2042" maxValue="2042" count="1">
        <n v="2042"/>
      </sharedItems>
    </cacheField>
    <cacheField name="ongoing" numFmtId="0">
      <sharedItems containsSemiMixedTypes="0" containsString="0" containsNumber="1" containsInteger="1" minValue="7511" maxValue="7511" count="1">
        <n v="7511"/>
      </sharedItems>
    </cacheField>
    <cacheField name="complete" numFmtId="0">
      <sharedItems containsSemiMixedTypes="0" containsString="0" containsNumber="1" containsInteger="1" minValue="1822" maxValue="1822" count="1">
        <n v="1822"/>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swheeler" refreshedDate="40954.675876967594" createdVersion="3" refreshedVersion="3" minRefreshableVersion="3" recordCount="143">
  <cacheSource type="worksheet">
    <worksheetSource ref="A1:H144" sheet="Sheet2" r:id="rId2"/>
  </cacheSource>
  <cacheFields count="8">
    <cacheField name="WDA" numFmtId="164">
      <sharedItems containsSemiMixedTypes="0" containsString="0" containsNumber="1" containsInteger="1" minValue="0" maxValue="12" count="13">
        <n v="1"/>
        <n v="2"/>
        <n v="3"/>
        <n v="4"/>
        <n v="5"/>
        <n v="6"/>
        <n v="7"/>
        <n v="8"/>
        <n v="9"/>
        <n v="10"/>
        <n v="11"/>
        <n v="12"/>
        <n v="0"/>
      </sharedItems>
    </cacheField>
    <cacheField name="CYQ" numFmtId="164">
      <sharedItems/>
    </cacheField>
    <cacheField name="PYQ" numFmtId="164">
      <sharedItems count="11">
        <s v="PY08 Q3"/>
        <s v="PY08 Q4"/>
        <s v="PY09 Q1"/>
        <s v="PY09 Q2"/>
        <s v="PY09 Q3"/>
        <s v="PY09 Q4"/>
        <s v="PY10 Q1"/>
        <s v="PY10 Q2"/>
        <s v="PY10 Q3"/>
        <s v="PY10 Q4"/>
        <s v="PY11 Q1"/>
      </sharedItems>
    </cacheField>
    <cacheField name="Labor Force" numFmtId="3">
      <sharedItems containsSemiMixedTypes="0" containsString="0" containsNumber="1" containsInteger="1" minValue="96100" maxValue="3548887"/>
    </cacheField>
    <cacheField name="Employed" numFmtId="3">
      <sharedItems containsSemiMixedTypes="0" containsString="0" containsNumber="1" containsInteger="1" minValue="87527" maxValue="3214420"/>
    </cacheField>
    <cacheField name="Unemployed" numFmtId="3">
      <sharedItems containsSemiMixedTypes="0" containsString="0" containsNumber="1" containsInteger="1" minValue="7827" maxValue="380777"/>
    </cacheField>
    <cacheField name="UR" numFmtId="0">
      <sharedItems containsSemiMixedTypes="0" containsString="0" containsNumber="1" minValue="8.8443665653937839E-2" maxValue="15.3"/>
    </cacheField>
    <cacheField name="Calc UR" numFmtId="10">
      <sharedItems containsSemiMixedTypes="0" containsString="0" containsNumber="1" minValue="6.6999271825411127E-2" maxValue="0.15259523279126755"/>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swheeler" refreshedDate="40954.682408333334" createdVersion="3" refreshedVersion="3" minRefreshableVersion="3" recordCount="1">
  <cacheSource type="external" connectionId="27"/>
  <cacheFields count="6">
    <cacheField name="current" numFmtId="0">
      <sharedItems containsSemiMixedTypes="0" containsString="0" containsNumber="1" containsInteger="1" minValue="3473" maxValue="3473" count="1">
        <n v="3473"/>
      </sharedItems>
    </cacheField>
    <cacheField name="Lastyear" numFmtId="0">
      <sharedItems containsSemiMixedTypes="0" containsString="0" containsNumber="1" containsInteger="1" minValue="4188" maxValue="4188" count="1">
        <n v="4188"/>
      </sharedItems>
    </cacheField>
    <cacheField name="CurrentSalary" numFmtId="0">
      <sharedItems containsSemiMixedTypes="0" containsString="0" containsNumber="1" containsInteger="1" minValue="10" maxValue="10" count="1">
        <n v="10"/>
      </sharedItems>
    </cacheField>
    <cacheField name="Lastyearsalary" numFmtId="0">
      <sharedItems containsSemiMixedTypes="0" containsString="0" containsNumber="1" containsInteger="1" minValue="12" maxValue="12" count="1">
        <n v="12"/>
      </sharedItems>
    </cacheField>
    <cacheField name="AvgOfCurrentJOs" numFmtId="0">
      <sharedItems containsSemiMixedTypes="0" containsString="0" containsNumber="1" minValue="13.236831118378847" maxValue="13.236831118378847" count="1">
        <n v="13.236831118378847"/>
      </sharedItems>
    </cacheField>
    <cacheField name="AvgOfLastYears" numFmtId="0">
      <sharedItems containsSemiMixedTypes="0" containsString="0" containsNumber="1" minValue="13.745607208570631" maxValue="13.745607208570631" count="1">
        <n v="13.745607208570631"/>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swheeler" refreshedDate="40954.68296435185" createdVersion="3" refreshedVersion="3" minRefreshableVersion="3" recordCount="1">
  <cacheSource type="external" connectionId="40"/>
  <cacheFields count="8">
    <cacheField name="currentprogram" numFmtId="0">
      <sharedItems containsSemiMixedTypes="0" containsString="0" containsNumber="1" containsInteger="1" minValue="18477" maxValue="18477" count="1">
        <n v="18477"/>
      </sharedItems>
    </cacheField>
    <cacheField name="program1yearago" numFmtId="0">
      <sharedItems containsSemiMixedTypes="0" containsString="0" containsNumber="1" containsInteger="1" minValue="22759" maxValue="22759" count="1">
        <n v="22759"/>
      </sharedItems>
    </cacheField>
    <cacheField name="wiacurrent" numFmtId="0">
      <sharedItems containsSemiMixedTypes="0" containsString="0" containsNumber="1" containsInteger="1" minValue="9222" maxValue="9222" count="1">
        <n v="9222"/>
      </sharedItems>
    </cacheField>
    <cacheField name="wia1yearago" numFmtId="0">
      <sharedItems containsSemiMixedTypes="0" containsString="0" containsNumber="1" containsInteger="1" minValue="11480" maxValue="11480" count="1">
        <n v="11480"/>
      </sharedItems>
    </cacheField>
    <cacheField name="wianewcurrent" numFmtId="0">
      <sharedItems containsSemiMixedTypes="0" containsString="0" containsNumber="1" containsInteger="1" minValue="1416" maxValue="1416" count="1">
        <n v="1416"/>
      </sharedItems>
    </cacheField>
    <cacheField name="wianew1yearago" numFmtId="0">
      <sharedItems containsSemiMixedTypes="0" containsString="0" containsNumber="1" containsInteger="1" minValue="1783" maxValue="1783" count="1">
        <n v="1783"/>
      </sharedItems>
    </cacheField>
    <cacheField name="wiaexitcurrent" numFmtId="0">
      <sharedItems containsSemiMixedTypes="0" containsString="0" containsNumber="1" containsInteger="1" minValue="1400" maxValue="1400" count="1">
        <n v="1400"/>
      </sharedItems>
    </cacheField>
    <cacheField name="wiaexit1yearago" numFmtId="0">
      <sharedItems containsSemiMixedTypes="0" containsString="0" containsNumber="1" containsInteger="1" minValue="1854" maxValue="1854" count="1">
        <n v="1854"/>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swheeler" refreshedDate="40954.683716666666" createdVersion="3" refreshedVersion="3" minRefreshableVersion="3" recordCount="1">
  <cacheSource type="external" connectionId="26"/>
  <cacheFields count="6">
    <cacheField name="3COUNT OF JOB ORDERS AND JOB OPENINGS_CountOfJOB_ORDER_ID" numFmtId="0">
      <sharedItems containsSemiMixedTypes="0" containsString="0" containsNumber="1" containsInteger="1" minValue="4029" maxValue="4029" count="1">
        <n v="4029"/>
      </sharedItems>
    </cacheField>
    <cacheField name="3COUNT OF JOB ORDERS AND JOB OPENINGS_SumOfJOB OPENINGS" numFmtId="0">
      <sharedItems containsSemiMixedTypes="0" containsString="0" containsNumber="1" containsInteger="1" minValue="9068" maxValue="9068" count="1">
        <n v="9068"/>
      </sharedItems>
    </cacheField>
    <cacheField name="3CountOfJobORders1YearAgo_CountOfJOB_ORDER_ID" numFmtId="0">
      <sharedItems containsSemiMixedTypes="0" containsString="0" containsNumber="1" containsInteger="1" minValue="5814" maxValue="5814" count="1">
        <n v="5814"/>
      </sharedItems>
    </cacheField>
    <cacheField name="3CountOfJobORders1YearAgo_SumOfJOB OPENINGS" numFmtId="0">
      <sharedItems containsSemiMixedTypes="0" containsString="0" containsNumber="1" containsInteger="1" minValue="10838" maxValue="10838" count="1">
        <n v="10838"/>
      </sharedItems>
    </cacheField>
    <cacheField name="3CountOfEmployersServed_CountOfEMPLOYER_ID" numFmtId="0">
      <sharedItems containsSemiMixedTypes="0" containsString="0" containsNumber="1" containsInteger="1" minValue="5746" maxValue="5746" count="1">
        <n v="5746"/>
      </sharedItems>
    </cacheField>
    <cacheField name="3CountOfEmployersServed1YearAgo_CountOfEMPLOYER_ID" numFmtId="0">
      <sharedItems containsSemiMixedTypes="0" containsString="0" containsNumber="1" containsInteger="1" minValue="7096" maxValue="7096" count="1">
        <n v="7096"/>
      </sharedItems>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swheeler" refreshedDate="40955.433159953704" createdVersion="3" refreshedVersion="3" minRefreshableVersion="3" recordCount="1">
  <cacheSource type="external" connectionId="32"/>
  <cacheFields count="3">
    <cacheField name="OVER25COUNT_CountOfSEEKERID" numFmtId="0">
      <sharedItems containsSemiMixedTypes="0" containsString="0" containsNumber="1" containsInteger="1" minValue="319137" maxValue="319137" count="1">
        <n v="319137"/>
      </sharedItems>
    </cacheField>
    <cacheField name="HSCOUNT_CountOfSEEKERID" numFmtId="0">
      <sharedItems containsSemiMixedTypes="0" containsString="0" containsNumber="1" containsInteger="1" minValue="277160" maxValue="277160" count="1">
        <n v="277160"/>
      </sharedItems>
    </cacheField>
    <cacheField name="COLLEGECOUNT_CountOfSEEKERID" numFmtId="0">
      <sharedItems containsSemiMixedTypes="0" containsString="0" containsNumber="1" containsInteger="1" minValue="50241" maxValue="50241" count="1">
        <n v="5024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1">
  <r>
    <n v="1"/>
    <s v="Adams County"/>
    <x v="0"/>
    <n v="17732"/>
    <n v="9092"/>
    <n v="8640"/>
    <n v="8379"/>
    <n v="8077"/>
    <n v="1276"/>
    <s v="North Central"/>
    <x v="0"/>
  </r>
  <r>
    <n v="1"/>
    <s v="Adams County"/>
    <x v="1"/>
    <n v="2215"/>
    <n v="1157"/>
    <n v="1058"/>
    <n v="902"/>
    <n v="852"/>
    <n v="461"/>
    <s v="North Central"/>
    <x v="0"/>
  </r>
  <r>
    <n v="1"/>
    <s v="Adams County"/>
    <x v="2"/>
    <n v="1880"/>
    <n v="967"/>
    <n v="913"/>
    <n v="848"/>
    <n v="825"/>
    <n v="207"/>
    <s v="North Central"/>
    <x v="0"/>
  </r>
  <r>
    <n v="1"/>
    <s v="Adams County"/>
    <x v="3"/>
    <n v="1452"/>
    <n v="715"/>
    <n v="737"/>
    <n v="684"/>
    <n v="697"/>
    <n v="71"/>
    <s v="North Central"/>
    <x v="0"/>
  </r>
  <r>
    <n v="1"/>
    <s v="Adams County"/>
    <x v="4"/>
    <n v="1533"/>
    <n v="810"/>
    <n v="723"/>
    <n v="758"/>
    <n v="692"/>
    <n v="83"/>
    <s v="North Central"/>
    <x v="0"/>
  </r>
  <r>
    <n v="1"/>
    <s v="Adams County"/>
    <x v="5"/>
    <n v="1241"/>
    <n v="659"/>
    <n v="582"/>
    <n v="607"/>
    <n v="553"/>
    <n v="81"/>
    <s v="North Central"/>
    <x v="0"/>
  </r>
  <r>
    <n v="1"/>
    <s v="Adams County"/>
    <x v="6"/>
    <n v="939"/>
    <n v="521"/>
    <n v="418"/>
    <n v="470"/>
    <n v="388"/>
    <n v="81"/>
    <s v="North Central"/>
    <x v="0"/>
  </r>
  <r>
    <n v="1"/>
    <s v="Adams County"/>
    <x v="7"/>
    <n v="938"/>
    <n v="501"/>
    <n v="437"/>
    <n v="467"/>
    <n v="404"/>
    <n v="67"/>
    <s v="North Central"/>
    <x v="0"/>
  </r>
  <r>
    <n v="1"/>
    <s v="Adams County"/>
    <x v="8"/>
    <n v="1034"/>
    <n v="530"/>
    <n v="504"/>
    <n v="501"/>
    <n v="488"/>
    <n v="45"/>
    <s v="North Central"/>
    <x v="0"/>
  </r>
  <r>
    <n v="1"/>
    <s v="Adams County"/>
    <x v="9"/>
    <n v="1016"/>
    <n v="514"/>
    <n v="502"/>
    <n v="498"/>
    <n v="485"/>
    <n v="33"/>
    <s v="North Central"/>
    <x v="0"/>
  </r>
  <r>
    <n v="1"/>
    <s v="Adams County"/>
    <x v="10"/>
    <n v="1008"/>
    <n v="509"/>
    <n v="499"/>
    <n v="495"/>
    <n v="486"/>
    <n v="27"/>
    <s v="North Central"/>
    <x v="0"/>
  </r>
  <r>
    <n v="1"/>
    <s v="Adams County"/>
    <x v="11"/>
    <n v="1050"/>
    <n v="525"/>
    <n v="525"/>
    <n v="510"/>
    <n v="514"/>
    <n v="26"/>
    <s v="North Central"/>
    <x v="0"/>
  </r>
  <r>
    <n v="1"/>
    <s v="Adams County"/>
    <x v="12"/>
    <n v="953"/>
    <n v="493"/>
    <n v="460"/>
    <n v="484"/>
    <n v="450"/>
    <n v="19"/>
    <s v="North Central"/>
    <x v="0"/>
  </r>
  <r>
    <n v="1"/>
    <s v="Adams County"/>
    <x v="13"/>
    <n v="791"/>
    <n v="382"/>
    <n v="409"/>
    <n v="373"/>
    <n v="397"/>
    <n v="21"/>
    <s v="North Central"/>
    <x v="0"/>
  </r>
  <r>
    <n v="1"/>
    <s v="Adams County"/>
    <x v="14"/>
    <n v="568"/>
    <n v="294"/>
    <n v="274"/>
    <n v="281"/>
    <n v="267"/>
    <n v="20"/>
    <s v="North Central"/>
    <x v="0"/>
  </r>
  <r>
    <n v="1"/>
    <s v="Adams County"/>
    <x v="15"/>
    <n v="405"/>
    <n v="206"/>
    <n v="199"/>
    <n v="200"/>
    <n v="195"/>
    <n v="10"/>
    <s v="North Central"/>
    <x v="0"/>
  </r>
  <r>
    <n v="1"/>
    <s v="Adams County"/>
    <x v="16"/>
    <n v="282"/>
    <n v="135"/>
    <n v="147"/>
    <n v="133"/>
    <n v="142"/>
    <n v="7"/>
    <s v="North Central"/>
    <x v="0"/>
  </r>
  <r>
    <n v="1"/>
    <s v="Adams County"/>
    <x v="17"/>
    <n v="235"/>
    <n v="109"/>
    <n v="126"/>
    <n v="104"/>
    <n v="120"/>
    <n v="11"/>
    <s v="North Central"/>
    <x v="0"/>
  </r>
  <r>
    <n v="1"/>
    <s v="Adams County"/>
    <x v="18"/>
    <n v="192"/>
    <n v="65"/>
    <n v="127"/>
    <n v="64"/>
    <n v="122"/>
    <n v="6"/>
    <s v="North Central"/>
    <x v="0"/>
  </r>
  <r>
    <n v="3"/>
    <s v="Asotin County"/>
    <x v="0"/>
    <n v="21432"/>
    <n v="10301"/>
    <n v="11131"/>
    <n v="9822"/>
    <n v="10662"/>
    <n v="948"/>
    <s v="Eastern"/>
    <x v="1"/>
  </r>
  <r>
    <n v="3"/>
    <s v="Asotin County"/>
    <x v="1"/>
    <n v="1278"/>
    <n v="653"/>
    <n v="625"/>
    <n v="594"/>
    <n v="573"/>
    <n v="111"/>
    <s v="Eastern"/>
    <x v="1"/>
  </r>
  <r>
    <n v="3"/>
    <s v="Asotin County"/>
    <x v="2"/>
    <n v="1350"/>
    <n v="687"/>
    <n v="663"/>
    <n v="641"/>
    <n v="609"/>
    <n v="100"/>
    <s v="Eastern"/>
    <x v="1"/>
  </r>
  <r>
    <n v="3"/>
    <s v="Asotin County"/>
    <x v="3"/>
    <n v="1278"/>
    <n v="675"/>
    <n v="603"/>
    <n v="627"/>
    <n v="567"/>
    <n v="84"/>
    <s v="Eastern"/>
    <x v="1"/>
  </r>
  <r>
    <n v="3"/>
    <s v="Asotin County"/>
    <x v="4"/>
    <n v="1293"/>
    <n v="687"/>
    <n v="606"/>
    <n v="644"/>
    <n v="562"/>
    <n v="87"/>
    <s v="Eastern"/>
    <x v="1"/>
  </r>
  <r>
    <n v="3"/>
    <s v="Asotin County"/>
    <x v="5"/>
    <n v="1143"/>
    <n v="586"/>
    <n v="557"/>
    <n v="549"/>
    <n v="513"/>
    <n v="81"/>
    <s v="Eastern"/>
    <x v="1"/>
  </r>
  <r>
    <n v="3"/>
    <s v="Asotin County"/>
    <x v="6"/>
    <n v="1375"/>
    <n v="688"/>
    <n v="687"/>
    <n v="647"/>
    <n v="654"/>
    <n v="74"/>
    <s v="Eastern"/>
    <x v="1"/>
  </r>
  <r>
    <n v="3"/>
    <s v="Asotin County"/>
    <x v="7"/>
    <n v="1182"/>
    <n v="562"/>
    <n v="620"/>
    <n v="535"/>
    <n v="592"/>
    <n v="55"/>
    <s v="Eastern"/>
    <x v="1"/>
  </r>
  <r>
    <n v="3"/>
    <s v="Asotin County"/>
    <x v="8"/>
    <n v="1119"/>
    <n v="556"/>
    <n v="563"/>
    <n v="529"/>
    <n v="534"/>
    <n v="56"/>
    <s v="Eastern"/>
    <x v="1"/>
  </r>
  <r>
    <n v="3"/>
    <s v="Asotin County"/>
    <x v="9"/>
    <n v="1290"/>
    <n v="610"/>
    <n v="680"/>
    <n v="583"/>
    <n v="654"/>
    <n v="53"/>
    <s v="Eastern"/>
    <x v="1"/>
  </r>
  <r>
    <n v="3"/>
    <s v="Asotin County"/>
    <x v="10"/>
    <n v="1483"/>
    <n v="698"/>
    <n v="785"/>
    <n v="674"/>
    <n v="760"/>
    <n v="49"/>
    <s v="Eastern"/>
    <x v="1"/>
  </r>
  <r>
    <n v="3"/>
    <s v="Asotin County"/>
    <x v="11"/>
    <n v="1609"/>
    <n v="779"/>
    <n v="830"/>
    <n v="752"/>
    <n v="805"/>
    <n v="52"/>
    <s v="Eastern"/>
    <x v="1"/>
  </r>
  <r>
    <n v="3"/>
    <s v="Asotin County"/>
    <x v="12"/>
    <n v="1535"/>
    <n v="738"/>
    <n v="797"/>
    <n v="714"/>
    <n v="773"/>
    <n v="48"/>
    <s v="Eastern"/>
    <x v="1"/>
  </r>
  <r>
    <n v="3"/>
    <s v="Asotin County"/>
    <x v="13"/>
    <n v="1395"/>
    <n v="647"/>
    <n v="748"/>
    <n v="634"/>
    <n v="733"/>
    <n v="28"/>
    <s v="Eastern"/>
    <x v="1"/>
  </r>
  <r>
    <n v="3"/>
    <s v="Asotin County"/>
    <x v="14"/>
    <n v="1247"/>
    <n v="583"/>
    <n v="664"/>
    <n v="573"/>
    <n v="654"/>
    <n v="20"/>
    <s v="Eastern"/>
    <x v="1"/>
  </r>
  <r>
    <n v="3"/>
    <s v="Asotin County"/>
    <x v="15"/>
    <n v="947"/>
    <n v="451"/>
    <n v="496"/>
    <n v="435"/>
    <n v="488"/>
    <n v="24"/>
    <s v="Eastern"/>
    <x v="1"/>
  </r>
  <r>
    <n v="3"/>
    <s v="Asotin County"/>
    <x v="16"/>
    <n v="723"/>
    <n v="297"/>
    <n v="426"/>
    <n v="292"/>
    <n v="420"/>
    <n v="11"/>
    <s v="Eastern"/>
    <x v="1"/>
  </r>
  <r>
    <n v="3"/>
    <s v="Asotin County"/>
    <x v="17"/>
    <n v="595"/>
    <n v="235"/>
    <n v="360"/>
    <n v="234"/>
    <n v="354"/>
    <n v="7"/>
    <s v="Eastern"/>
    <x v="1"/>
  </r>
  <r>
    <n v="3"/>
    <s v="Asotin County"/>
    <x v="18"/>
    <n v="590"/>
    <n v="169"/>
    <n v="421"/>
    <n v="165"/>
    <n v="417"/>
    <n v="8"/>
    <s v="Eastern"/>
    <x v="1"/>
  </r>
  <r>
    <n v="5"/>
    <s v="Benton County"/>
    <x v="0"/>
    <n v="168294"/>
    <n v="84102"/>
    <n v="84192"/>
    <n v="78018"/>
    <n v="78201"/>
    <n v="12075"/>
    <s v="Benton-Franklin"/>
    <x v="2"/>
  </r>
  <r>
    <n v="5"/>
    <s v="Benton County"/>
    <x v="1"/>
    <n v="12541"/>
    <n v="6307"/>
    <n v="6234"/>
    <n v="5563"/>
    <n v="5485"/>
    <n v="1493"/>
    <s v="Benton-Franklin"/>
    <x v="2"/>
  </r>
  <r>
    <n v="5"/>
    <s v="Benton County"/>
    <x v="2"/>
    <n v="12422"/>
    <n v="6419"/>
    <n v="6003"/>
    <n v="5773"/>
    <n v="5348"/>
    <n v="1301"/>
    <s v="Benton-Franklin"/>
    <x v="2"/>
  </r>
  <r>
    <n v="5"/>
    <s v="Benton County"/>
    <x v="3"/>
    <n v="12559"/>
    <n v="6397"/>
    <n v="6162"/>
    <n v="5801"/>
    <n v="5625"/>
    <n v="1133"/>
    <s v="Benton-Franklin"/>
    <x v="2"/>
  </r>
  <r>
    <n v="5"/>
    <s v="Benton County"/>
    <x v="4"/>
    <n v="12684"/>
    <n v="6514"/>
    <n v="6170"/>
    <n v="5937"/>
    <n v="5690"/>
    <n v="1057"/>
    <s v="Benton-Franklin"/>
    <x v="2"/>
  </r>
  <r>
    <n v="5"/>
    <s v="Benton County"/>
    <x v="5"/>
    <n v="10673"/>
    <n v="5523"/>
    <n v="5150"/>
    <n v="5168"/>
    <n v="4805"/>
    <n v="700"/>
    <s v="Benton-Franklin"/>
    <x v="2"/>
  </r>
  <r>
    <n v="5"/>
    <s v="Benton County"/>
    <x v="6"/>
    <n v="11250"/>
    <n v="5843"/>
    <n v="5407"/>
    <n v="5496"/>
    <n v="5048"/>
    <n v="706"/>
    <s v="Benton-Franklin"/>
    <x v="2"/>
  </r>
  <r>
    <n v="5"/>
    <s v="Benton County"/>
    <x v="7"/>
    <n v="9582"/>
    <n v="4798"/>
    <n v="4784"/>
    <n v="4419"/>
    <n v="4431"/>
    <n v="732"/>
    <s v="Benton-Franklin"/>
    <x v="2"/>
  </r>
  <r>
    <n v="5"/>
    <s v="Benton County"/>
    <x v="8"/>
    <n v="10199"/>
    <n v="5123"/>
    <n v="5076"/>
    <n v="4732"/>
    <n v="4725"/>
    <n v="742"/>
    <s v="Benton-Franklin"/>
    <x v="2"/>
  </r>
  <r>
    <n v="5"/>
    <s v="Benton County"/>
    <x v="9"/>
    <n v="10875"/>
    <n v="5384"/>
    <n v="5491"/>
    <n v="4995"/>
    <n v="5113"/>
    <n v="767"/>
    <s v="Benton-Franklin"/>
    <x v="2"/>
  </r>
  <r>
    <n v="5"/>
    <s v="Benton County"/>
    <x v="10"/>
    <n v="12325"/>
    <n v="6101"/>
    <n v="6224"/>
    <n v="5752"/>
    <n v="5827"/>
    <n v="746"/>
    <s v="Benton-Franklin"/>
    <x v="2"/>
  </r>
  <r>
    <n v="5"/>
    <s v="Benton County"/>
    <x v="11"/>
    <n v="12546"/>
    <n v="6231"/>
    <n v="6315"/>
    <n v="5874"/>
    <n v="5985"/>
    <n v="687"/>
    <s v="Benton-Franklin"/>
    <x v="2"/>
  </r>
  <r>
    <n v="5"/>
    <s v="Benton County"/>
    <x v="12"/>
    <n v="11452"/>
    <n v="5757"/>
    <n v="5695"/>
    <n v="5492"/>
    <n v="5368"/>
    <n v="592"/>
    <s v="Benton-Franklin"/>
    <x v="2"/>
  </r>
  <r>
    <n v="5"/>
    <s v="Benton County"/>
    <x v="13"/>
    <n v="9043"/>
    <n v="4539"/>
    <n v="4504"/>
    <n v="4296"/>
    <n v="4267"/>
    <n v="480"/>
    <s v="Benton-Franklin"/>
    <x v="2"/>
  </r>
  <r>
    <n v="5"/>
    <s v="Benton County"/>
    <x v="14"/>
    <n v="6619"/>
    <n v="3343"/>
    <n v="3276"/>
    <n v="3145"/>
    <n v="3064"/>
    <n v="410"/>
    <s v="Benton-Franklin"/>
    <x v="2"/>
  </r>
  <r>
    <n v="5"/>
    <s v="Benton County"/>
    <x v="15"/>
    <n v="4666"/>
    <n v="2195"/>
    <n v="2471"/>
    <n v="2079"/>
    <n v="2340"/>
    <n v="247"/>
    <s v="Benton-Franklin"/>
    <x v="2"/>
  </r>
  <r>
    <n v="5"/>
    <s v="Benton County"/>
    <x v="16"/>
    <n v="3593"/>
    <n v="1646"/>
    <n v="1947"/>
    <n v="1566"/>
    <n v="1888"/>
    <n v="139"/>
    <s v="Benton-Franklin"/>
    <x v="2"/>
  </r>
  <r>
    <n v="5"/>
    <s v="Benton County"/>
    <x v="17"/>
    <n v="2775"/>
    <n v="1155"/>
    <n v="1620"/>
    <n v="1128"/>
    <n v="1574"/>
    <n v="73"/>
    <s v="Benton-Franklin"/>
    <x v="2"/>
  </r>
  <r>
    <n v="5"/>
    <s v="Benton County"/>
    <x v="18"/>
    <n v="2490"/>
    <n v="827"/>
    <n v="1663"/>
    <n v="802"/>
    <n v="1618"/>
    <n v="70"/>
    <s v="Benton-Franklin"/>
    <x v="2"/>
  </r>
  <r>
    <n v="7"/>
    <s v="Chelan County"/>
    <x v="0"/>
    <n v="72372"/>
    <n v="36338"/>
    <n v="36034"/>
    <n v="34633"/>
    <n v="34404"/>
    <n v="3335"/>
    <s v="North Central"/>
    <x v="0"/>
  </r>
  <r>
    <n v="7"/>
    <s v="Chelan County"/>
    <x v="1"/>
    <n v="5089"/>
    <n v="2679"/>
    <n v="2410"/>
    <n v="2386"/>
    <n v="2138"/>
    <n v="565"/>
    <s v="North Central"/>
    <x v="0"/>
  </r>
  <r>
    <n v="7"/>
    <s v="Chelan County"/>
    <x v="2"/>
    <n v="5001"/>
    <n v="2594"/>
    <n v="2407"/>
    <n v="2404"/>
    <n v="2227"/>
    <n v="370"/>
    <s v="North Central"/>
    <x v="0"/>
  </r>
  <r>
    <n v="7"/>
    <s v="Chelan County"/>
    <x v="3"/>
    <n v="4811"/>
    <n v="2413"/>
    <n v="2398"/>
    <n v="2306"/>
    <n v="2279"/>
    <n v="226"/>
    <s v="North Central"/>
    <x v="0"/>
  </r>
  <r>
    <n v="7"/>
    <s v="Chelan County"/>
    <x v="4"/>
    <n v="5080"/>
    <n v="2655"/>
    <n v="2425"/>
    <n v="2533"/>
    <n v="2308"/>
    <n v="239"/>
    <s v="North Central"/>
    <x v="0"/>
  </r>
  <r>
    <n v="7"/>
    <s v="Chelan County"/>
    <x v="5"/>
    <n v="4456"/>
    <n v="2331"/>
    <n v="2125"/>
    <n v="2206"/>
    <n v="2024"/>
    <n v="226"/>
    <s v="North Central"/>
    <x v="0"/>
  </r>
  <r>
    <n v="7"/>
    <s v="Chelan County"/>
    <x v="6"/>
    <n v="4363"/>
    <n v="2401"/>
    <n v="1962"/>
    <n v="2263"/>
    <n v="1866"/>
    <n v="234"/>
    <s v="North Central"/>
    <x v="0"/>
  </r>
  <r>
    <n v="7"/>
    <s v="Chelan County"/>
    <x v="7"/>
    <n v="3744"/>
    <n v="1871"/>
    <n v="1873"/>
    <n v="1759"/>
    <n v="1769"/>
    <n v="216"/>
    <s v="North Central"/>
    <x v="0"/>
  </r>
  <r>
    <n v="7"/>
    <s v="Chelan County"/>
    <x v="8"/>
    <n v="4070"/>
    <n v="2055"/>
    <n v="2015"/>
    <n v="1928"/>
    <n v="1924"/>
    <n v="218"/>
    <s v="North Central"/>
    <x v="0"/>
  </r>
  <r>
    <n v="7"/>
    <s v="Chelan County"/>
    <x v="9"/>
    <n v="4341"/>
    <n v="2212"/>
    <n v="2129"/>
    <n v="2110"/>
    <n v="2028"/>
    <n v="203"/>
    <s v="North Central"/>
    <x v="0"/>
  </r>
  <r>
    <n v="7"/>
    <s v="Chelan County"/>
    <x v="10"/>
    <n v="5149"/>
    <n v="2516"/>
    <n v="2633"/>
    <n v="2438"/>
    <n v="2525"/>
    <n v="186"/>
    <s v="North Central"/>
    <x v="0"/>
  </r>
  <r>
    <n v="7"/>
    <s v="Chelan County"/>
    <x v="11"/>
    <n v="5429"/>
    <n v="2716"/>
    <n v="2713"/>
    <n v="2626"/>
    <n v="2609"/>
    <n v="194"/>
    <s v="North Central"/>
    <x v="0"/>
  </r>
  <r>
    <n v="7"/>
    <s v="Chelan County"/>
    <x v="12"/>
    <n v="5213"/>
    <n v="2668"/>
    <n v="2545"/>
    <n v="2589"/>
    <n v="2474"/>
    <n v="150"/>
    <s v="North Central"/>
    <x v="0"/>
  </r>
  <r>
    <n v="7"/>
    <s v="Chelan County"/>
    <x v="13"/>
    <n v="4239"/>
    <n v="2072"/>
    <n v="2167"/>
    <n v="2029"/>
    <n v="2116"/>
    <n v="94"/>
    <s v="North Central"/>
    <x v="0"/>
  </r>
  <r>
    <n v="7"/>
    <s v="Chelan County"/>
    <x v="14"/>
    <n v="3399"/>
    <n v="1645"/>
    <n v="1754"/>
    <n v="1608"/>
    <n v="1717"/>
    <n v="74"/>
    <s v="North Central"/>
    <x v="0"/>
  </r>
  <r>
    <n v="7"/>
    <s v="Chelan County"/>
    <x v="15"/>
    <n v="2611"/>
    <n v="1273"/>
    <n v="1338"/>
    <n v="1251"/>
    <n v="1310"/>
    <n v="50"/>
    <s v="North Central"/>
    <x v="0"/>
  </r>
  <r>
    <n v="7"/>
    <s v="Chelan County"/>
    <x v="16"/>
    <n v="2090"/>
    <n v="976"/>
    <n v="1114"/>
    <n v="961"/>
    <n v="1090"/>
    <n v="39"/>
    <s v="North Central"/>
    <x v="0"/>
  </r>
  <r>
    <n v="7"/>
    <s v="Chelan County"/>
    <x v="17"/>
    <n v="1667"/>
    <n v="707"/>
    <n v="960"/>
    <n v="693"/>
    <n v="941"/>
    <n v="33"/>
    <s v="North Central"/>
    <x v="0"/>
  </r>
  <r>
    <n v="7"/>
    <s v="Chelan County"/>
    <x v="18"/>
    <n v="1620"/>
    <n v="554"/>
    <n v="1066"/>
    <n v="543"/>
    <n v="1059"/>
    <n v="18"/>
    <s v="North Central"/>
    <x v="0"/>
  </r>
  <r>
    <n v="9"/>
    <s v="Clallam County"/>
    <x v="0"/>
    <n v="71413"/>
    <n v="35233"/>
    <n v="36180"/>
    <n v="31542"/>
    <n v="32570"/>
    <n v="7301"/>
    <s v="Olympic"/>
    <x v="3"/>
  </r>
  <r>
    <n v="9"/>
    <s v="Clallam County"/>
    <x v="1"/>
    <n v="3404"/>
    <n v="1719"/>
    <n v="1685"/>
    <n v="1404"/>
    <n v="1336"/>
    <n v="664"/>
    <s v="Olympic"/>
    <x v="3"/>
  </r>
  <r>
    <n v="9"/>
    <s v="Clallam County"/>
    <x v="2"/>
    <n v="3434"/>
    <n v="1716"/>
    <n v="1718"/>
    <n v="1419"/>
    <n v="1384"/>
    <n v="631"/>
    <s v="Olympic"/>
    <x v="3"/>
  </r>
  <r>
    <n v="9"/>
    <s v="Clallam County"/>
    <x v="3"/>
    <n v="3892"/>
    <n v="2010"/>
    <n v="1882"/>
    <n v="1692"/>
    <n v="1577"/>
    <n v="623"/>
    <s v="Olympic"/>
    <x v="3"/>
  </r>
  <r>
    <n v="9"/>
    <s v="Clallam County"/>
    <x v="4"/>
    <n v="4201"/>
    <n v="2253"/>
    <n v="1948"/>
    <n v="1882"/>
    <n v="1623"/>
    <n v="696"/>
    <s v="Olympic"/>
    <x v="3"/>
  </r>
  <r>
    <n v="9"/>
    <s v="Clallam County"/>
    <x v="5"/>
    <n v="3710"/>
    <n v="2008"/>
    <n v="1702"/>
    <n v="1644"/>
    <n v="1415"/>
    <n v="651"/>
    <s v="Olympic"/>
    <x v="3"/>
  </r>
  <r>
    <n v="9"/>
    <s v="Clallam County"/>
    <x v="6"/>
    <n v="3771"/>
    <n v="2162"/>
    <n v="1609"/>
    <n v="1855"/>
    <n v="1380"/>
    <n v="536"/>
    <s v="Olympic"/>
    <x v="3"/>
  </r>
  <r>
    <n v="9"/>
    <s v="Clallam County"/>
    <x v="7"/>
    <n v="3031"/>
    <n v="1651"/>
    <n v="1380"/>
    <n v="1392"/>
    <n v="1219"/>
    <n v="420"/>
    <s v="Olympic"/>
    <x v="3"/>
  </r>
  <r>
    <n v="9"/>
    <s v="Clallam County"/>
    <x v="8"/>
    <n v="3309"/>
    <n v="1731"/>
    <n v="1578"/>
    <n v="1490"/>
    <n v="1388"/>
    <n v="431"/>
    <s v="Olympic"/>
    <x v="3"/>
  </r>
  <r>
    <n v="9"/>
    <s v="Clallam County"/>
    <x v="9"/>
    <n v="3446"/>
    <n v="1709"/>
    <n v="1737"/>
    <n v="1502"/>
    <n v="1536"/>
    <n v="408"/>
    <s v="Olympic"/>
    <x v="3"/>
  </r>
  <r>
    <n v="9"/>
    <s v="Clallam County"/>
    <x v="10"/>
    <n v="4740"/>
    <n v="2233"/>
    <n v="2507"/>
    <n v="2034"/>
    <n v="2255"/>
    <n v="451"/>
    <s v="Olympic"/>
    <x v="3"/>
  </r>
  <r>
    <n v="9"/>
    <s v="Clallam County"/>
    <x v="11"/>
    <n v="5546"/>
    <n v="2677"/>
    <n v="2869"/>
    <n v="2462"/>
    <n v="2654"/>
    <n v="430"/>
    <s v="Olympic"/>
    <x v="3"/>
  </r>
  <r>
    <n v="9"/>
    <s v="Clallam County"/>
    <x v="12"/>
    <n v="6139"/>
    <n v="2931"/>
    <n v="3208"/>
    <n v="2758"/>
    <n v="2987"/>
    <n v="394"/>
    <s v="Olympic"/>
    <x v="3"/>
  </r>
  <r>
    <n v="9"/>
    <s v="Clallam County"/>
    <x v="13"/>
    <n v="6039"/>
    <n v="2874"/>
    <n v="3165"/>
    <n v="2739"/>
    <n v="2983"/>
    <n v="317"/>
    <s v="Olympic"/>
    <x v="3"/>
  </r>
  <r>
    <n v="9"/>
    <s v="Clallam County"/>
    <x v="14"/>
    <n v="5214"/>
    <n v="2421"/>
    <n v="2793"/>
    <n v="2317"/>
    <n v="2676"/>
    <n v="221"/>
    <s v="Olympic"/>
    <x v="3"/>
  </r>
  <r>
    <n v="9"/>
    <s v="Clallam County"/>
    <x v="15"/>
    <n v="3999"/>
    <n v="1897"/>
    <n v="2102"/>
    <n v="1814"/>
    <n v="2006"/>
    <n v="179"/>
    <s v="Olympic"/>
    <x v="3"/>
  </r>
  <r>
    <n v="9"/>
    <s v="Clallam County"/>
    <x v="16"/>
    <n v="3013"/>
    <n v="1364"/>
    <n v="1649"/>
    <n v="1317"/>
    <n v="1570"/>
    <n v="126"/>
    <s v="Olympic"/>
    <x v="3"/>
  </r>
  <r>
    <n v="9"/>
    <s v="Clallam County"/>
    <x v="17"/>
    <n v="2419"/>
    <n v="1112"/>
    <n v="1307"/>
    <n v="1086"/>
    <n v="1270"/>
    <n v="63"/>
    <s v="Olympic"/>
    <x v="3"/>
  </r>
  <r>
    <n v="9"/>
    <s v="Clallam County"/>
    <x v="18"/>
    <n v="2106"/>
    <n v="765"/>
    <n v="1341"/>
    <n v="735"/>
    <n v="1311"/>
    <n v="60"/>
    <s v="Olympic"/>
    <x v="3"/>
  </r>
  <r>
    <n v="11"/>
    <s v="Clark County"/>
    <x v="0"/>
    <n v="432002"/>
    <n v="215494"/>
    <n v="216508"/>
    <n v="193234"/>
    <n v="194243"/>
    <n v="44525"/>
    <s v="Southwest"/>
    <x v="4"/>
  </r>
  <r>
    <n v="11"/>
    <s v="Clark County"/>
    <x v="1"/>
    <n v="30743"/>
    <n v="15682"/>
    <n v="15061"/>
    <n v="13338"/>
    <n v="12826"/>
    <n v="4579"/>
    <s v="Southwest"/>
    <x v="4"/>
  </r>
  <r>
    <n v="11"/>
    <s v="Clark County"/>
    <x v="2"/>
    <n v="31219"/>
    <n v="15918"/>
    <n v="15301"/>
    <n v="13669"/>
    <n v="13139"/>
    <n v="4411"/>
    <s v="Southwest"/>
    <x v="4"/>
  </r>
  <r>
    <n v="11"/>
    <s v="Clark County"/>
    <x v="3"/>
    <n v="32361"/>
    <n v="16488"/>
    <n v="15873"/>
    <n v="14374"/>
    <n v="13760"/>
    <n v="4227"/>
    <s v="Southwest"/>
    <x v="4"/>
  </r>
  <r>
    <n v="11"/>
    <s v="Clark County"/>
    <x v="4"/>
    <n v="29262"/>
    <n v="15148"/>
    <n v="14114"/>
    <n v="13279"/>
    <n v="12364"/>
    <n v="3619"/>
    <s v="Southwest"/>
    <x v="4"/>
  </r>
  <r>
    <n v="11"/>
    <s v="Clark County"/>
    <x v="5"/>
    <n v="24865"/>
    <n v="13005"/>
    <n v="11860"/>
    <n v="11411"/>
    <n v="10580"/>
    <n v="2874"/>
    <s v="Southwest"/>
    <x v="4"/>
  </r>
  <r>
    <n v="11"/>
    <s v="Clark County"/>
    <x v="6"/>
    <n v="30024"/>
    <n v="15572"/>
    <n v="14452"/>
    <n v="13994"/>
    <n v="12985"/>
    <n v="3045"/>
    <s v="Southwest"/>
    <x v="4"/>
  </r>
  <r>
    <n v="11"/>
    <s v="Clark County"/>
    <x v="7"/>
    <n v="29639"/>
    <n v="14736"/>
    <n v="14903"/>
    <n v="13154"/>
    <n v="13292"/>
    <n v="3193"/>
    <s v="Southwest"/>
    <x v="4"/>
  </r>
  <r>
    <n v="11"/>
    <s v="Clark County"/>
    <x v="8"/>
    <n v="30955"/>
    <n v="15530"/>
    <n v="15425"/>
    <n v="13737"/>
    <n v="13522"/>
    <n v="3696"/>
    <s v="Southwest"/>
    <x v="4"/>
  </r>
  <r>
    <n v="11"/>
    <s v="Clark County"/>
    <x v="9"/>
    <n v="30344"/>
    <n v="15205"/>
    <n v="15139"/>
    <n v="13643"/>
    <n v="13575"/>
    <n v="3126"/>
    <s v="Southwest"/>
    <x v="4"/>
  </r>
  <r>
    <n v="11"/>
    <s v="Clark County"/>
    <x v="10"/>
    <n v="32017"/>
    <n v="15981"/>
    <n v="16036"/>
    <n v="14576"/>
    <n v="14611"/>
    <n v="2830"/>
    <s v="Southwest"/>
    <x v="4"/>
  </r>
  <r>
    <n v="11"/>
    <s v="Clark County"/>
    <x v="11"/>
    <n v="30934"/>
    <n v="15407"/>
    <n v="15527"/>
    <n v="14168"/>
    <n v="14192"/>
    <n v="2574"/>
    <s v="Southwest"/>
    <x v="4"/>
  </r>
  <r>
    <n v="11"/>
    <s v="Clark County"/>
    <x v="12"/>
    <n v="27774"/>
    <n v="13631"/>
    <n v="14143"/>
    <n v="12608"/>
    <n v="13016"/>
    <n v="2150"/>
    <s v="Southwest"/>
    <x v="4"/>
  </r>
  <r>
    <n v="11"/>
    <s v="Clark County"/>
    <x v="13"/>
    <n v="23335"/>
    <n v="11347"/>
    <n v="11988"/>
    <n v="10611"/>
    <n v="11155"/>
    <n v="1569"/>
    <s v="Southwest"/>
    <x v="4"/>
  </r>
  <r>
    <n v="11"/>
    <s v="Clark County"/>
    <x v="14"/>
    <n v="16355"/>
    <n v="8115"/>
    <n v="8240"/>
    <n v="7624"/>
    <n v="7711"/>
    <n v="1020"/>
    <s v="Southwest"/>
    <x v="4"/>
  </r>
  <r>
    <n v="11"/>
    <s v="Clark County"/>
    <x v="15"/>
    <n v="11452"/>
    <n v="5377"/>
    <n v="6075"/>
    <n v="5057"/>
    <n v="5731"/>
    <n v="664"/>
    <s v="Southwest"/>
    <x v="4"/>
  </r>
  <r>
    <n v="11"/>
    <s v="Clark County"/>
    <x v="16"/>
    <n v="8374"/>
    <n v="3693"/>
    <n v="4681"/>
    <n v="3515"/>
    <n v="4396"/>
    <n v="463"/>
    <s v="Southwest"/>
    <x v="4"/>
  </r>
  <r>
    <n v="11"/>
    <s v="Clark County"/>
    <x v="17"/>
    <n v="6512"/>
    <n v="2623"/>
    <n v="3889"/>
    <n v="2510"/>
    <n v="3734"/>
    <n v="268"/>
    <s v="Southwest"/>
    <x v="4"/>
  </r>
  <r>
    <n v="11"/>
    <s v="Clark County"/>
    <x v="18"/>
    <n v="5837"/>
    <n v="2036"/>
    <n v="3801"/>
    <n v="1966"/>
    <n v="3654"/>
    <n v="217"/>
    <s v="Southwest"/>
    <x v="4"/>
  </r>
  <r>
    <n v="13"/>
    <s v="Columbia County"/>
    <x v="0"/>
    <n v="4040"/>
    <n v="1967"/>
    <n v="2073"/>
    <n v="1897"/>
    <n v="1967"/>
    <n v="176"/>
    <s v="Eastern"/>
    <x v="1"/>
  </r>
  <r>
    <n v="13"/>
    <s v="Columbia County"/>
    <x v="1"/>
    <n v="205"/>
    <n v="104"/>
    <n v="101"/>
    <n v="98"/>
    <n v="96"/>
    <n v="11"/>
    <s v="Eastern"/>
    <x v="1"/>
  </r>
  <r>
    <n v="13"/>
    <s v="Columbia County"/>
    <x v="2"/>
    <n v="207"/>
    <n v="99"/>
    <n v="108"/>
    <n v="92"/>
    <n v="99"/>
    <n v="16"/>
    <s v="Eastern"/>
    <x v="1"/>
  </r>
  <r>
    <n v="13"/>
    <s v="Columbia County"/>
    <x v="3"/>
    <n v="253"/>
    <n v="117"/>
    <n v="136"/>
    <n v="106"/>
    <n v="125"/>
    <n v="22"/>
    <s v="Eastern"/>
    <x v="1"/>
  </r>
  <r>
    <n v="13"/>
    <s v="Columbia County"/>
    <x v="4"/>
    <n v="225"/>
    <n v="118"/>
    <n v="107"/>
    <n v="112"/>
    <n v="100"/>
    <n v="13"/>
    <s v="Eastern"/>
    <x v="1"/>
  </r>
  <r>
    <n v="13"/>
    <s v="Columbia County"/>
    <x v="5"/>
    <n v="175"/>
    <n v="82"/>
    <n v="93"/>
    <n v="77"/>
    <n v="83"/>
    <n v="15"/>
    <s v="Eastern"/>
    <x v="1"/>
  </r>
  <r>
    <n v="13"/>
    <s v="Columbia County"/>
    <x v="6"/>
    <n v="185"/>
    <n v="104"/>
    <n v="81"/>
    <n v="95"/>
    <n v="70"/>
    <n v="20"/>
    <s v="Eastern"/>
    <x v="1"/>
  </r>
  <r>
    <n v="13"/>
    <s v="Columbia County"/>
    <x v="7"/>
    <n v="162"/>
    <n v="87"/>
    <n v="75"/>
    <n v="85"/>
    <n v="70"/>
    <n v="7"/>
    <s v="Eastern"/>
    <x v="1"/>
  </r>
  <r>
    <n v="13"/>
    <s v="Columbia County"/>
    <x v="8"/>
    <n v="228"/>
    <n v="110"/>
    <n v="118"/>
    <n v="108"/>
    <n v="107"/>
    <n v="13"/>
    <s v="Eastern"/>
    <x v="1"/>
  </r>
  <r>
    <n v="13"/>
    <s v="Columbia County"/>
    <x v="9"/>
    <n v="240"/>
    <n v="123"/>
    <n v="117"/>
    <n v="120"/>
    <n v="111"/>
    <n v="9"/>
    <s v="Eastern"/>
    <x v="1"/>
  </r>
  <r>
    <n v="13"/>
    <s v="Columbia County"/>
    <x v="10"/>
    <n v="291"/>
    <n v="142"/>
    <n v="149"/>
    <n v="140"/>
    <n v="145"/>
    <n v="6"/>
    <s v="Eastern"/>
    <x v="1"/>
  </r>
  <r>
    <n v="13"/>
    <s v="Columbia County"/>
    <x v="11"/>
    <n v="305"/>
    <n v="142"/>
    <n v="163"/>
    <n v="140"/>
    <n v="155"/>
    <n v="10"/>
    <s v="Eastern"/>
    <x v="1"/>
  </r>
  <r>
    <n v="13"/>
    <s v="Columbia County"/>
    <x v="12"/>
    <n v="385"/>
    <n v="181"/>
    <n v="204"/>
    <n v="179"/>
    <n v="198"/>
    <n v="8"/>
    <s v="Eastern"/>
    <x v="1"/>
  </r>
  <r>
    <n v="13"/>
    <s v="Columbia County"/>
    <x v="13"/>
    <n v="334"/>
    <n v="176"/>
    <n v="158"/>
    <n v="171"/>
    <n v="157"/>
    <n v="6"/>
    <s v="Eastern"/>
    <x v="1"/>
  </r>
  <r>
    <n v="13"/>
    <s v="Columbia County"/>
    <x v="14"/>
    <n v="271"/>
    <n v="131"/>
    <n v="140"/>
    <n v="128"/>
    <n v="139"/>
    <n v="4"/>
    <s v="Eastern"/>
    <x v="1"/>
  </r>
  <r>
    <n v="13"/>
    <s v="Columbia County"/>
    <x v="15"/>
    <n v="197"/>
    <n v="97"/>
    <n v="100"/>
    <n v="95"/>
    <n v="96"/>
    <n v="6"/>
    <s v="Eastern"/>
    <x v="1"/>
  </r>
  <r>
    <n v="13"/>
    <s v="Columbia County"/>
    <x v="16"/>
    <n v="161"/>
    <n v="71"/>
    <n v="90"/>
    <n v="69"/>
    <n v="88"/>
    <n v="4"/>
    <s v="Eastern"/>
    <x v="1"/>
  </r>
  <r>
    <n v="13"/>
    <s v="Columbia County"/>
    <x v="17"/>
    <n v="102"/>
    <n v="44"/>
    <n v="58"/>
    <n v="44"/>
    <n v="56"/>
    <n v="2"/>
    <s v="Eastern"/>
    <x v="1"/>
  </r>
  <r>
    <n v="13"/>
    <s v="Columbia County"/>
    <x v="18"/>
    <n v="114"/>
    <n v="39"/>
    <n v="75"/>
    <n v="38"/>
    <n v="72"/>
    <n v="4"/>
    <s v="Eastern"/>
    <x v="1"/>
  </r>
  <r>
    <n v="15"/>
    <s v="Cowlitz County"/>
    <x v="0"/>
    <n v="101966"/>
    <n v="50749"/>
    <n v="51217"/>
    <n v="47413"/>
    <n v="47795"/>
    <n v="6758"/>
    <s v="Southwest"/>
    <x v="4"/>
  </r>
  <r>
    <n v="15"/>
    <s v="Cowlitz County"/>
    <x v="1"/>
    <n v="6971"/>
    <n v="3521"/>
    <n v="3450"/>
    <n v="3089"/>
    <n v="3012"/>
    <n v="870"/>
    <s v="Southwest"/>
    <x v="4"/>
  </r>
  <r>
    <n v="15"/>
    <s v="Cowlitz County"/>
    <x v="2"/>
    <n v="6843"/>
    <n v="3455"/>
    <n v="3388"/>
    <n v="3166"/>
    <n v="3096"/>
    <n v="581"/>
    <s v="Southwest"/>
    <x v="4"/>
  </r>
  <r>
    <n v="15"/>
    <s v="Cowlitz County"/>
    <x v="3"/>
    <n v="6972"/>
    <n v="3516"/>
    <n v="3456"/>
    <n v="3246"/>
    <n v="3137"/>
    <n v="589"/>
    <s v="Southwest"/>
    <x v="4"/>
  </r>
  <r>
    <n v="15"/>
    <s v="Cowlitz County"/>
    <x v="4"/>
    <n v="7185"/>
    <n v="3737"/>
    <n v="3448"/>
    <n v="3409"/>
    <n v="3156"/>
    <n v="620"/>
    <s v="Southwest"/>
    <x v="4"/>
  </r>
  <r>
    <n v="15"/>
    <s v="Cowlitz County"/>
    <x v="5"/>
    <n v="5734"/>
    <n v="3037"/>
    <n v="2697"/>
    <n v="2779"/>
    <n v="2478"/>
    <n v="477"/>
    <s v="Southwest"/>
    <x v="4"/>
  </r>
  <r>
    <n v="15"/>
    <s v="Cowlitz County"/>
    <x v="6"/>
    <n v="6410"/>
    <n v="3419"/>
    <n v="2991"/>
    <n v="3123"/>
    <n v="2776"/>
    <n v="511"/>
    <s v="Southwest"/>
    <x v="4"/>
  </r>
  <r>
    <n v="15"/>
    <s v="Cowlitz County"/>
    <x v="7"/>
    <n v="5955"/>
    <n v="3065"/>
    <n v="2890"/>
    <n v="2865"/>
    <n v="2736"/>
    <n v="354"/>
    <s v="Southwest"/>
    <x v="4"/>
  </r>
  <r>
    <n v="15"/>
    <s v="Cowlitz County"/>
    <x v="8"/>
    <n v="6335"/>
    <n v="3141"/>
    <n v="3194"/>
    <n v="2951"/>
    <n v="2976"/>
    <n v="408"/>
    <s v="Southwest"/>
    <x v="4"/>
  </r>
  <r>
    <n v="15"/>
    <s v="Cowlitz County"/>
    <x v="9"/>
    <n v="6470"/>
    <n v="3200"/>
    <n v="3270"/>
    <n v="3011"/>
    <n v="3114"/>
    <n v="345"/>
    <s v="Southwest"/>
    <x v="4"/>
  </r>
  <r>
    <n v="15"/>
    <s v="Cowlitz County"/>
    <x v="10"/>
    <n v="7470"/>
    <n v="3726"/>
    <n v="3744"/>
    <n v="3536"/>
    <n v="3528"/>
    <n v="406"/>
    <s v="Southwest"/>
    <x v="4"/>
  </r>
  <r>
    <n v="15"/>
    <s v="Cowlitz County"/>
    <x v="11"/>
    <n v="7704"/>
    <n v="3862"/>
    <n v="3842"/>
    <n v="3695"/>
    <n v="3607"/>
    <n v="402"/>
    <s v="Southwest"/>
    <x v="4"/>
  </r>
  <r>
    <n v="15"/>
    <s v="Cowlitz County"/>
    <x v="12"/>
    <n v="7176"/>
    <n v="3529"/>
    <n v="3647"/>
    <n v="3370"/>
    <n v="3437"/>
    <n v="369"/>
    <s v="Southwest"/>
    <x v="4"/>
  </r>
  <r>
    <n v="15"/>
    <s v="Cowlitz County"/>
    <x v="13"/>
    <n v="6520"/>
    <n v="3241"/>
    <n v="3279"/>
    <n v="3089"/>
    <n v="3136"/>
    <n v="295"/>
    <s v="Southwest"/>
    <x v="4"/>
  </r>
  <r>
    <n v="15"/>
    <s v="Cowlitz County"/>
    <x v="14"/>
    <n v="4770"/>
    <n v="2306"/>
    <n v="2464"/>
    <n v="2214"/>
    <n v="2337"/>
    <n v="219"/>
    <s v="Southwest"/>
    <x v="4"/>
  </r>
  <r>
    <n v="15"/>
    <s v="Cowlitz County"/>
    <x v="15"/>
    <n v="3276"/>
    <n v="1532"/>
    <n v="1744"/>
    <n v="1491"/>
    <n v="1670"/>
    <n v="115"/>
    <s v="Southwest"/>
    <x v="4"/>
  </r>
  <r>
    <n v="15"/>
    <s v="Cowlitz County"/>
    <x v="16"/>
    <n v="2483"/>
    <n v="1115"/>
    <n v="1368"/>
    <n v="1073"/>
    <n v="1316"/>
    <n v="94"/>
    <s v="Southwest"/>
    <x v="4"/>
  </r>
  <r>
    <n v="15"/>
    <s v="Cowlitz County"/>
    <x v="17"/>
    <n v="1921"/>
    <n v="796"/>
    <n v="1125"/>
    <n v="770"/>
    <n v="1089"/>
    <n v="62"/>
    <s v="Southwest"/>
    <x v="4"/>
  </r>
  <r>
    <n v="15"/>
    <s v="Cowlitz County"/>
    <x v="18"/>
    <n v="1771"/>
    <n v="551"/>
    <n v="1220"/>
    <n v="536"/>
    <n v="1194"/>
    <n v="41"/>
    <s v="Southwest"/>
    <x v="4"/>
  </r>
  <r>
    <n v="17"/>
    <s v="Douglas County"/>
    <x v="0"/>
    <n v="37565"/>
    <n v="18600"/>
    <n v="18965"/>
    <n v="17617"/>
    <n v="17829"/>
    <n v="2119"/>
    <s v="North Central"/>
    <x v="0"/>
  </r>
  <r>
    <n v="17"/>
    <s v="Douglas County"/>
    <x v="1"/>
    <n v="2903"/>
    <n v="1501"/>
    <n v="1402"/>
    <n v="1300"/>
    <n v="1202"/>
    <n v="401"/>
    <s v="North Central"/>
    <x v="0"/>
  </r>
  <r>
    <n v="17"/>
    <s v="Douglas County"/>
    <x v="2"/>
    <n v="2848"/>
    <n v="1425"/>
    <n v="1423"/>
    <n v="1304"/>
    <n v="1269"/>
    <n v="275"/>
    <s v="North Central"/>
    <x v="0"/>
  </r>
  <r>
    <n v="17"/>
    <s v="Douglas County"/>
    <x v="3"/>
    <n v="2893"/>
    <n v="1446"/>
    <n v="1447"/>
    <n v="1352"/>
    <n v="1354"/>
    <n v="187"/>
    <s v="North Central"/>
    <x v="0"/>
  </r>
  <r>
    <n v="17"/>
    <s v="Douglas County"/>
    <x v="4"/>
    <n v="2829"/>
    <n v="1437"/>
    <n v="1392"/>
    <n v="1355"/>
    <n v="1313"/>
    <n v="161"/>
    <s v="North Central"/>
    <x v="0"/>
  </r>
  <r>
    <n v="17"/>
    <s v="Douglas County"/>
    <x v="5"/>
    <n v="2336"/>
    <n v="1186"/>
    <n v="1150"/>
    <n v="1110"/>
    <n v="1040"/>
    <n v="186"/>
    <s v="North Central"/>
    <x v="0"/>
  </r>
  <r>
    <n v="17"/>
    <s v="Douglas County"/>
    <x v="6"/>
    <n v="2321"/>
    <n v="1165"/>
    <n v="1156"/>
    <n v="1093"/>
    <n v="1046"/>
    <n v="182"/>
    <s v="North Central"/>
    <x v="0"/>
  </r>
  <r>
    <n v="17"/>
    <s v="Douglas County"/>
    <x v="7"/>
    <n v="2026"/>
    <n v="988"/>
    <n v="1038"/>
    <n v="936"/>
    <n v="969"/>
    <n v="121"/>
    <s v="North Central"/>
    <x v="0"/>
  </r>
  <r>
    <n v="17"/>
    <s v="Douglas County"/>
    <x v="8"/>
    <n v="2321"/>
    <n v="1164"/>
    <n v="1157"/>
    <n v="1099"/>
    <n v="1084"/>
    <n v="138"/>
    <s v="North Central"/>
    <x v="0"/>
  </r>
  <r>
    <n v="17"/>
    <s v="Douglas County"/>
    <x v="9"/>
    <n v="2263"/>
    <n v="1106"/>
    <n v="1157"/>
    <n v="1060"/>
    <n v="1108"/>
    <n v="95"/>
    <s v="North Central"/>
    <x v="0"/>
  </r>
  <r>
    <n v="17"/>
    <s v="Douglas County"/>
    <x v="10"/>
    <n v="2686"/>
    <n v="1331"/>
    <n v="1355"/>
    <n v="1294"/>
    <n v="1319"/>
    <n v="73"/>
    <s v="North Central"/>
    <x v="0"/>
  </r>
  <r>
    <n v="17"/>
    <s v="Douglas County"/>
    <x v="11"/>
    <n v="2649"/>
    <n v="1285"/>
    <n v="1364"/>
    <n v="1252"/>
    <n v="1323"/>
    <n v="74"/>
    <s v="North Central"/>
    <x v="0"/>
  </r>
  <r>
    <n v="17"/>
    <s v="Douglas County"/>
    <x v="12"/>
    <n v="2465"/>
    <n v="1253"/>
    <n v="1212"/>
    <n v="1218"/>
    <n v="1175"/>
    <n v="72"/>
    <s v="North Central"/>
    <x v="0"/>
  </r>
  <r>
    <n v="17"/>
    <s v="Douglas County"/>
    <x v="13"/>
    <n v="2063"/>
    <n v="1012"/>
    <n v="1051"/>
    <n v="993"/>
    <n v="1025"/>
    <n v="45"/>
    <s v="North Central"/>
    <x v="0"/>
  </r>
  <r>
    <n v="17"/>
    <s v="Douglas County"/>
    <x v="14"/>
    <n v="1641"/>
    <n v="827"/>
    <n v="814"/>
    <n v="809"/>
    <n v="792"/>
    <n v="40"/>
    <s v="North Central"/>
    <x v="0"/>
  </r>
  <r>
    <n v="17"/>
    <s v="Douglas County"/>
    <x v="15"/>
    <n v="1140"/>
    <n v="542"/>
    <n v="598"/>
    <n v="528"/>
    <n v="587"/>
    <n v="25"/>
    <s v="North Central"/>
    <x v="0"/>
  </r>
  <r>
    <n v="17"/>
    <s v="Douglas County"/>
    <x v="16"/>
    <n v="910"/>
    <n v="410"/>
    <n v="500"/>
    <n v="403"/>
    <n v="489"/>
    <n v="18"/>
    <s v="North Central"/>
    <x v="0"/>
  </r>
  <r>
    <n v="17"/>
    <s v="Douglas County"/>
    <x v="17"/>
    <n v="666"/>
    <n v="285"/>
    <n v="381"/>
    <n v="279"/>
    <n v="373"/>
    <n v="14"/>
    <s v="North Central"/>
    <x v="0"/>
  </r>
  <r>
    <n v="17"/>
    <s v="Douglas County"/>
    <x v="18"/>
    <n v="605"/>
    <n v="237"/>
    <n v="368"/>
    <n v="232"/>
    <n v="361"/>
    <n v="12"/>
    <s v="North Central"/>
    <x v="0"/>
  </r>
  <r>
    <n v="19"/>
    <s v="Ferry County"/>
    <x v="0"/>
    <n v="7520"/>
    <n v="3879"/>
    <n v="3641"/>
    <n v="3057"/>
    <n v="2845"/>
    <n v="1618"/>
    <s v="Eastern"/>
    <x v="1"/>
  </r>
  <r>
    <n v="19"/>
    <s v="Ferry County"/>
    <x v="1"/>
    <n v="379"/>
    <n v="192"/>
    <n v="187"/>
    <n v="131"/>
    <n v="123"/>
    <n v="125"/>
    <s v="Eastern"/>
    <x v="1"/>
  </r>
  <r>
    <n v="19"/>
    <s v="Ferry County"/>
    <x v="2"/>
    <n v="431"/>
    <n v="228"/>
    <n v="203"/>
    <n v="151"/>
    <n v="139"/>
    <n v="141"/>
    <s v="Eastern"/>
    <x v="1"/>
  </r>
  <r>
    <n v="19"/>
    <s v="Ferry County"/>
    <x v="3"/>
    <n v="463"/>
    <n v="221"/>
    <n v="242"/>
    <n v="163"/>
    <n v="163"/>
    <n v="137"/>
    <s v="Eastern"/>
    <x v="1"/>
  </r>
  <r>
    <n v="19"/>
    <s v="Ferry County"/>
    <x v="4"/>
    <n v="622"/>
    <n v="380"/>
    <n v="242"/>
    <n v="287"/>
    <n v="172"/>
    <n v="163"/>
    <s v="Eastern"/>
    <x v="1"/>
  </r>
  <r>
    <n v="19"/>
    <s v="Ferry County"/>
    <x v="5"/>
    <n v="401"/>
    <n v="226"/>
    <n v="175"/>
    <n v="170"/>
    <n v="125"/>
    <n v="106"/>
    <s v="Eastern"/>
    <x v="1"/>
  </r>
  <r>
    <n v="19"/>
    <s v="Ferry County"/>
    <x v="6"/>
    <n v="293"/>
    <n v="169"/>
    <n v="124"/>
    <n v="121"/>
    <n v="81"/>
    <n v="91"/>
    <s v="Eastern"/>
    <x v="1"/>
  </r>
  <r>
    <n v="19"/>
    <s v="Ferry County"/>
    <x v="7"/>
    <n v="321"/>
    <n v="159"/>
    <n v="162"/>
    <n v="101"/>
    <n v="119"/>
    <n v="101"/>
    <s v="Eastern"/>
    <x v="1"/>
  </r>
  <r>
    <n v="19"/>
    <s v="Ferry County"/>
    <x v="8"/>
    <n v="344"/>
    <n v="160"/>
    <n v="184"/>
    <n v="118"/>
    <n v="139"/>
    <n v="87"/>
    <s v="Eastern"/>
    <x v="1"/>
  </r>
  <r>
    <n v="19"/>
    <s v="Ferry County"/>
    <x v="9"/>
    <n v="375"/>
    <n v="176"/>
    <n v="199"/>
    <n v="138"/>
    <n v="146"/>
    <n v="91"/>
    <s v="Eastern"/>
    <x v="1"/>
  </r>
  <r>
    <n v="19"/>
    <s v="Ferry County"/>
    <x v="10"/>
    <n v="511"/>
    <n v="250"/>
    <n v="261"/>
    <n v="185"/>
    <n v="208"/>
    <n v="118"/>
    <s v="Eastern"/>
    <x v="1"/>
  </r>
  <r>
    <n v="19"/>
    <s v="Ferry County"/>
    <x v="11"/>
    <n v="662"/>
    <n v="339"/>
    <n v="323"/>
    <n v="287"/>
    <n v="268"/>
    <n v="107"/>
    <s v="Eastern"/>
    <x v="1"/>
  </r>
  <r>
    <n v="19"/>
    <s v="Ferry County"/>
    <x v="12"/>
    <n v="786"/>
    <n v="407"/>
    <n v="379"/>
    <n v="348"/>
    <n v="329"/>
    <n v="109"/>
    <s v="Eastern"/>
    <x v="1"/>
  </r>
  <r>
    <n v="19"/>
    <s v="Ferry County"/>
    <x v="13"/>
    <n v="631"/>
    <n v="317"/>
    <n v="314"/>
    <n v="289"/>
    <n v="275"/>
    <n v="67"/>
    <s v="Eastern"/>
    <x v="1"/>
  </r>
  <r>
    <n v="19"/>
    <s v="Ferry County"/>
    <x v="14"/>
    <n v="531"/>
    <n v="262"/>
    <n v="269"/>
    <n v="233"/>
    <n v="244"/>
    <n v="54"/>
    <s v="Eastern"/>
    <x v="1"/>
  </r>
  <r>
    <n v="19"/>
    <s v="Ferry County"/>
    <x v="15"/>
    <n v="314"/>
    <n v="168"/>
    <n v="146"/>
    <n v="148"/>
    <n v="120"/>
    <n v="46"/>
    <s v="Eastern"/>
    <x v="1"/>
  </r>
  <r>
    <n v="19"/>
    <s v="Ferry County"/>
    <x v="16"/>
    <n v="227"/>
    <n v="119"/>
    <n v="108"/>
    <n v="99"/>
    <n v="94"/>
    <n v="34"/>
    <s v="Eastern"/>
    <x v="1"/>
  </r>
  <r>
    <n v="19"/>
    <s v="Ferry County"/>
    <x v="17"/>
    <n v="117"/>
    <n v="57"/>
    <n v="60"/>
    <n v="47"/>
    <n v="45"/>
    <n v="25"/>
    <s v="Eastern"/>
    <x v="1"/>
  </r>
  <r>
    <n v="19"/>
    <s v="Ferry County"/>
    <x v="18"/>
    <n v="112"/>
    <n v="49"/>
    <n v="63"/>
    <n v="41"/>
    <n v="55"/>
    <n v="16"/>
    <s v="Eastern"/>
    <x v="1"/>
  </r>
  <r>
    <n v="21"/>
    <s v="Franklin County"/>
    <x v="0"/>
    <n v="77355"/>
    <n v="40703"/>
    <n v="36652"/>
    <n v="37738"/>
    <n v="33898"/>
    <n v="5719"/>
    <s v="Benton-Franklin"/>
    <x v="2"/>
  </r>
  <r>
    <n v="21"/>
    <s v="Franklin County"/>
    <x v="1"/>
    <n v="8867"/>
    <n v="4487"/>
    <n v="4380"/>
    <n v="4015"/>
    <n v="3921"/>
    <n v="931"/>
    <s v="Benton-Franklin"/>
    <x v="2"/>
  </r>
  <r>
    <n v="21"/>
    <s v="Franklin County"/>
    <x v="2"/>
    <n v="7983"/>
    <n v="4208"/>
    <n v="3775"/>
    <n v="3821"/>
    <n v="3401"/>
    <n v="761"/>
    <s v="Benton-Franklin"/>
    <x v="2"/>
  </r>
  <r>
    <n v="21"/>
    <s v="Franklin County"/>
    <x v="3"/>
    <n v="6497"/>
    <n v="3339"/>
    <n v="3158"/>
    <n v="3119"/>
    <n v="2942"/>
    <n v="436"/>
    <s v="Benton-Franklin"/>
    <x v="2"/>
  </r>
  <r>
    <n v="21"/>
    <s v="Franklin County"/>
    <x v="4"/>
    <n v="5878"/>
    <n v="3164"/>
    <n v="2714"/>
    <n v="2967"/>
    <n v="2529"/>
    <n v="382"/>
    <s v="Benton-Franklin"/>
    <x v="2"/>
  </r>
  <r>
    <n v="21"/>
    <s v="Franklin County"/>
    <x v="5"/>
    <n v="5485"/>
    <n v="3040"/>
    <n v="2445"/>
    <n v="2817"/>
    <n v="2260"/>
    <n v="408"/>
    <s v="Benton-Franklin"/>
    <x v="2"/>
  </r>
  <r>
    <n v="21"/>
    <s v="Franklin County"/>
    <x v="6"/>
    <n v="6502"/>
    <n v="3577"/>
    <n v="2925"/>
    <n v="3319"/>
    <n v="2729"/>
    <n v="454"/>
    <s v="Benton-Franklin"/>
    <x v="2"/>
  </r>
  <r>
    <n v="21"/>
    <s v="Franklin County"/>
    <x v="7"/>
    <n v="6183"/>
    <n v="3379"/>
    <n v="2804"/>
    <n v="3166"/>
    <n v="2615"/>
    <n v="402"/>
    <s v="Benton-Franklin"/>
    <x v="2"/>
  </r>
  <r>
    <n v="21"/>
    <s v="Franklin County"/>
    <x v="8"/>
    <n v="5245"/>
    <n v="2883"/>
    <n v="2362"/>
    <n v="2655"/>
    <n v="2227"/>
    <n v="363"/>
    <s v="Benton-Franklin"/>
    <x v="2"/>
  </r>
  <r>
    <n v="21"/>
    <s v="Franklin County"/>
    <x v="9"/>
    <n v="4410"/>
    <n v="2363"/>
    <n v="2047"/>
    <n v="2209"/>
    <n v="1918"/>
    <n v="283"/>
    <s v="Benton-Franklin"/>
    <x v="2"/>
  </r>
  <r>
    <n v="21"/>
    <s v="Franklin County"/>
    <x v="10"/>
    <n v="4284"/>
    <n v="2192"/>
    <n v="2092"/>
    <n v="2067"/>
    <n v="1931"/>
    <n v="286"/>
    <s v="Benton-Franklin"/>
    <x v="2"/>
  </r>
  <r>
    <n v="21"/>
    <s v="Franklin County"/>
    <x v="11"/>
    <n v="4179"/>
    <n v="2232"/>
    <n v="1947"/>
    <n v="2063"/>
    <n v="1810"/>
    <n v="306"/>
    <s v="Benton-Franklin"/>
    <x v="2"/>
  </r>
  <r>
    <n v="21"/>
    <s v="Franklin County"/>
    <x v="12"/>
    <n v="3552"/>
    <n v="1810"/>
    <n v="1742"/>
    <n v="1720"/>
    <n v="1646"/>
    <n v="186"/>
    <s v="Benton-Franklin"/>
    <x v="2"/>
  </r>
  <r>
    <n v="21"/>
    <s v="Franklin County"/>
    <x v="13"/>
    <n v="2773"/>
    <n v="1409"/>
    <n v="1364"/>
    <n v="1350"/>
    <n v="1280"/>
    <n v="143"/>
    <s v="Benton-Franklin"/>
    <x v="2"/>
  </r>
  <r>
    <n v="21"/>
    <s v="Franklin County"/>
    <x v="14"/>
    <n v="1845"/>
    <n v="926"/>
    <n v="919"/>
    <n v="864"/>
    <n v="861"/>
    <n v="120"/>
    <s v="Benton-Franklin"/>
    <x v="2"/>
  </r>
  <r>
    <n v="21"/>
    <s v="Franklin County"/>
    <x v="15"/>
    <n v="1345"/>
    <n v="679"/>
    <n v="666"/>
    <n v="635"/>
    <n v="614"/>
    <n v="96"/>
    <s v="Benton-Franklin"/>
    <x v="2"/>
  </r>
  <r>
    <n v="21"/>
    <s v="Franklin County"/>
    <x v="16"/>
    <n v="1001"/>
    <n v="441"/>
    <n v="560"/>
    <n v="416"/>
    <n v="525"/>
    <n v="60"/>
    <s v="Benton-Franklin"/>
    <x v="2"/>
  </r>
  <r>
    <n v="21"/>
    <s v="Franklin County"/>
    <x v="17"/>
    <n v="738"/>
    <n v="330"/>
    <n v="408"/>
    <n v="308"/>
    <n v="371"/>
    <n v="59"/>
    <s v="Benton-Franklin"/>
    <x v="2"/>
  </r>
  <r>
    <n v="21"/>
    <s v="Franklin County"/>
    <x v="18"/>
    <n v="588"/>
    <n v="244"/>
    <n v="344"/>
    <n v="227"/>
    <n v="318"/>
    <n v="43"/>
    <s v="Benton-Franklin"/>
    <x v="2"/>
  </r>
  <r>
    <n v="23"/>
    <s v="Garfield County"/>
    <x v="0"/>
    <n v="2101"/>
    <n v="1053"/>
    <n v="1048"/>
    <n v="1021"/>
    <n v="1021"/>
    <n v="59"/>
    <s v="Eastern"/>
    <x v="1"/>
  </r>
  <r>
    <n v="23"/>
    <s v="Garfield County"/>
    <x v="1"/>
    <n v="90"/>
    <n v="52"/>
    <n v="38"/>
    <n v="46"/>
    <n v="35"/>
    <n v="9"/>
    <s v="Eastern"/>
    <x v="1"/>
  </r>
  <r>
    <n v="23"/>
    <s v="Garfield County"/>
    <x v="2"/>
    <n v="102"/>
    <n v="55"/>
    <n v="47"/>
    <n v="54"/>
    <n v="47"/>
    <n v="1"/>
    <s v="Eastern"/>
    <x v="1"/>
  </r>
  <r>
    <n v="23"/>
    <s v="Garfield County"/>
    <x v="3"/>
    <n v="110"/>
    <n v="56"/>
    <n v="54"/>
    <n v="54"/>
    <n v="54"/>
    <n v="2"/>
    <s v="Eastern"/>
    <x v="1"/>
  </r>
  <r>
    <n v="23"/>
    <s v="Garfield County"/>
    <x v="4"/>
    <n v="142"/>
    <n v="74"/>
    <n v="68"/>
    <n v="69"/>
    <n v="64"/>
    <n v="9"/>
    <s v="Eastern"/>
    <x v="1"/>
  </r>
  <r>
    <n v="23"/>
    <s v="Garfield County"/>
    <x v="5"/>
    <n v="86"/>
    <n v="57"/>
    <n v="29"/>
    <n v="48"/>
    <n v="23"/>
    <n v="15"/>
    <s v="Eastern"/>
    <x v="1"/>
  </r>
  <r>
    <n v="23"/>
    <s v="Garfield County"/>
    <x v="6"/>
    <n v="112"/>
    <n v="62"/>
    <n v="50"/>
    <n v="60"/>
    <n v="49"/>
    <n v="3"/>
    <s v="Eastern"/>
    <x v="1"/>
  </r>
  <r>
    <n v="23"/>
    <s v="Garfield County"/>
    <x v="7"/>
    <n v="69"/>
    <n v="34"/>
    <n v="35"/>
    <n v="34"/>
    <n v="33"/>
    <n v="2"/>
    <s v="Eastern"/>
    <x v="1"/>
  </r>
  <r>
    <n v="23"/>
    <s v="Garfield County"/>
    <x v="8"/>
    <n v="91"/>
    <n v="49"/>
    <n v="42"/>
    <n v="49"/>
    <n v="42"/>
    <n v="0"/>
    <s v="Eastern"/>
    <x v="1"/>
  </r>
  <r>
    <n v="23"/>
    <s v="Garfield County"/>
    <x v="9"/>
    <n v="97"/>
    <n v="41"/>
    <n v="56"/>
    <n v="40"/>
    <n v="56"/>
    <n v="1"/>
    <s v="Eastern"/>
    <x v="1"/>
  </r>
  <r>
    <n v="23"/>
    <s v="Garfield County"/>
    <x v="10"/>
    <n v="146"/>
    <n v="71"/>
    <n v="75"/>
    <n v="70"/>
    <n v="71"/>
    <n v="5"/>
    <s v="Eastern"/>
    <x v="1"/>
  </r>
  <r>
    <n v="23"/>
    <s v="Garfield County"/>
    <x v="11"/>
    <n v="175"/>
    <n v="92"/>
    <n v="83"/>
    <n v="90"/>
    <n v="81"/>
    <n v="4"/>
    <s v="Eastern"/>
    <x v="1"/>
  </r>
  <r>
    <n v="23"/>
    <s v="Garfield County"/>
    <x v="12"/>
    <n v="189"/>
    <n v="95"/>
    <n v="94"/>
    <n v="95"/>
    <n v="92"/>
    <n v="2"/>
    <s v="Eastern"/>
    <x v="1"/>
  </r>
  <r>
    <n v="23"/>
    <s v="Garfield County"/>
    <x v="13"/>
    <n v="181"/>
    <n v="92"/>
    <n v="89"/>
    <n v="91"/>
    <n v="89"/>
    <n v="1"/>
    <s v="Eastern"/>
    <x v="1"/>
  </r>
  <r>
    <n v="23"/>
    <s v="Garfield County"/>
    <x v="14"/>
    <n v="92"/>
    <n v="44"/>
    <n v="48"/>
    <n v="44"/>
    <n v="47"/>
    <n v="1"/>
    <s v="Eastern"/>
    <x v="1"/>
  </r>
  <r>
    <n v="23"/>
    <s v="Garfield County"/>
    <x v="15"/>
    <n v="123"/>
    <n v="56"/>
    <n v="67"/>
    <n v="56"/>
    <n v="67"/>
    <n v="0"/>
    <s v="Eastern"/>
    <x v="1"/>
  </r>
  <r>
    <n v="23"/>
    <s v="Garfield County"/>
    <x v="16"/>
    <n v="126"/>
    <n v="53"/>
    <n v="73"/>
    <n v="52"/>
    <n v="72"/>
    <n v="2"/>
    <s v="Eastern"/>
    <x v="1"/>
  </r>
  <r>
    <n v="23"/>
    <s v="Garfield County"/>
    <x v="17"/>
    <n v="71"/>
    <n v="31"/>
    <n v="40"/>
    <n v="31"/>
    <n v="40"/>
    <n v="0"/>
    <s v="Eastern"/>
    <x v="1"/>
  </r>
  <r>
    <n v="23"/>
    <s v="Garfield County"/>
    <x v="18"/>
    <n v="99"/>
    <n v="39"/>
    <n v="60"/>
    <n v="38"/>
    <n v="59"/>
    <n v="2"/>
    <s v="Eastern"/>
    <x v="1"/>
  </r>
  <r>
    <n v="25"/>
    <s v="Grant County"/>
    <x v="0"/>
    <n v="88098"/>
    <n v="45301"/>
    <n v="42797"/>
    <n v="42664"/>
    <n v="40370"/>
    <n v="5064"/>
    <s v="North Central"/>
    <x v="0"/>
  </r>
  <r>
    <n v="25"/>
    <s v="Grant County"/>
    <x v="1"/>
    <n v="8333"/>
    <n v="4283"/>
    <n v="4050"/>
    <n v="3857"/>
    <n v="3670"/>
    <n v="806"/>
    <s v="North Central"/>
    <x v="0"/>
  </r>
  <r>
    <n v="25"/>
    <s v="Grant County"/>
    <x v="2"/>
    <n v="7553"/>
    <n v="3826"/>
    <n v="3727"/>
    <n v="3530"/>
    <n v="3509"/>
    <n v="514"/>
    <s v="North Central"/>
    <x v="0"/>
  </r>
  <r>
    <n v="25"/>
    <s v="Grant County"/>
    <x v="3"/>
    <n v="7037"/>
    <n v="3617"/>
    <n v="3420"/>
    <n v="3429"/>
    <n v="3209"/>
    <n v="399"/>
    <s v="North Central"/>
    <x v="0"/>
  </r>
  <r>
    <n v="25"/>
    <s v="Grant County"/>
    <x v="4"/>
    <n v="7167"/>
    <n v="3850"/>
    <n v="3317"/>
    <n v="3596"/>
    <n v="3113"/>
    <n v="458"/>
    <s v="North Central"/>
    <x v="0"/>
  </r>
  <r>
    <n v="25"/>
    <s v="Grant County"/>
    <x v="5"/>
    <n v="6072"/>
    <n v="3297"/>
    <n v="2775"/>
    <n v="3091"/>
    <n v="2620"/>
    <n v="361"/>
    <s v="North Central"/>
    <x v="0"/>
  </r>
  <r>
    <n v="25"/>
    <s v="Grant County"/>
    <x v="6"/>
    <n v="5937"/>
    <n v="3230"/>
    <n v="2707"/>
    <n v="3057"/>
    <n v="2576"/>
    <n v="304"/>
    <s v="North Central"/>
    <x v="0"/>
  </r>
  <r>
    <n v="25"/>
    <s v="Grant County"/>
    <x v="7"/>
    <n v="5326"/>
    <n v="2838"/>
    <n v="2488"/>
    <n v="2651"/>
    <n v="2334"/>
    <n v="341"/>
    <s v="North Central"/>
    <x v="0"/>
  </r>
  <r>
    <n v="25"/>
    <s v="Grant County"/>
    <x v="8"/>
    <n v="5368"/>
    <n v="2788"/>
    <n v="2580"/>
    <n v="2660"/>
    <n v="2426"/>
    <n v="282"/>
    <s v="North Central"/>
    <x v="0"/>
  </r>
  <r>
    <n v="25"/>
    <s v="Grant County"/>
    <x v="9"/>
    <n v="5270"/>
    <n v="2704"/>
    <n v="2566"/>
    <n v="2587"/>
    <n v="2425"/>
    <n v="258"/>
    <s v="North Central"/>
    <x v="0"/>
  </r>
  <r>
    <n v="25"/>
    <s v="Grant County"/>
    <x v="10"/>
    <n v="5476"/>
    <n v="2834"/>
    <n v="2642"/>
    <n v="2677"/>
    <n v="2519"/>
    <n v="280"/>
    <s v="North Central"/>
    <x v="0"/>
  </r>
  <r>
    <n v="25"/>
    <s v="Grant County"/>
    <x v="11"/>
    <n v="5387"/>
    <n v="2743"/>
    <n v="2644"/>
    <n v="2594"/>
    <n v="2495"/>
    <n v="298"/>
    <s v="North Central"/>
    <x v="0"/>
  </r>
  <r>
    <n v="25"/>
    <s v="Grant County"/>
    <x v="12"/>
    <n v="4892"/>
    <n v="2495"/>
    <n v="2397"/>
    <n v="2390"/>
    <n v="2286"/>
    <n v="216"/>
    <s v="North Central"/>
    <x v="0"/>
  </r>
  <r>
    <n v="25"/>
    <s v="Grant County"/>
    <x v="13"/>
    <n v="4187"/>
    <n v="2124"/>
    <n v="2063"/>
    <n v="2042"/>
    <n v="1985"/>
    <n v="160"/>
    <s v="North Central"/>
    <x v="0"/>
  </r>
  <r>
    <n v="25"/>
    <s v="Grant County"/>
    <x v="14"/>
    <n v="3223"/>
    <n v="1609"/>
    <n v="1614"/>
    <n v="1561"/>
    <n v="1562"/>
    <n v="100"/>
    <s v="North Central"/>
    <x v="0"/>
  </r>
  <r>
    <n v="25"/>
    <s v="Grant County"/>
    <x v="15"/>
    <n v="2242"/>
    <n v="1054"/>
    <n v="1188"/>
    <n v="1017"/>
    <n v="1139"/>
    <n v="86"/>
    <s v="North Central"/>
    <x v="0"/>
  </r>
  <r>
    <n v="25"/>
    <s v="Grant County"/>
    <x v="16"/>
    <n v="1944"/>
    <n v="892"/>
    <n v="1052"/>
    <n v="853"/>
    <n v="1007"/>
    <n v="84"/>
    <s v="North Central"/>
    <x v="0"/>
  </r>
  <r>
    <n v="25"/>
    <s v="Grant County"/>
    <x v="17"/>
    <n v="1449"/>
    <n v="629"/>
    <n v="820"/>
    <n v="603"/>
    <n v="775"/>
    <n v="71"/>
    <s v="North Central"/>
    <x v="0"/>
  </r>
  <r>
    <n v="25"/>
    <s v="Grant County"/>
    <x v="18"/>
    <n v="1235"/>
    <n v="488"/>
    <n v="747"/>
    <n v="469"/>
    <n v="720"/>
    <n v="46"/>
    <s v="North Central"/>
    <x v="0"/>
  </r>
  <r>
    <n v="27"/>
    <s v="Grays Harbor County"/>
    <x v="0"/>
    <n v="71797"/>
    <n v="36476"/>
    <n v="35321"/>
    <n v="32611"/>
    <n v="31714"/>
    <n v="7472"/>
    <s v="PacMtn"/>
    <x v="5"/>
  </r>
  <r>
    <n v="27"/>
    <s v="Grays Harbor County"/>
    <x v="1"/>
    <n v="4558"/>
    <n v="2315"/>
    <n v="2243"/>
    <n v="1890"/>
    <n v="1831"/>
    <n v="837"/>
    <s v="PacMtn"/>
    <x v="5"/>
  </r>
  <r>
    <n v="27"/>
    <s v="Grays Harbor County"/>
    <x v="2"/>
    <n v="4223"/>
    <n v="2107"/>
    <n v="2116"/>
    <n v="1784"/>
    <n v="1798"/>
    <n v="641"/>
    <s v="PacMtn"/>
    <x v="5"/>
  </r>
  <r>
    <n v="27"/>
    <s v="Grays Harbor County"/>
    <x v="3"/>
    <n v="4430"/>
    <n v="2276"/>
    <n v="2154"/>
    <n v="1972"/>
    <n v="1841"/>
    <n v="617"/>
    <s v="PacMtn"/>
    <x v="5"/>
  </r>
  <r>
    <n v="27"/>
    <s v="Grays Harbor County"/>
    <x v="4"/>
    <n v="4748"/>
    <n v="2598"/>
    <n v="2150"/>
    <n v="2222"/>
    <n v="1871"/>
    <n v="655"/>
    <s v="PacMtn"/>
    <x v="5"/>
  </r>
  <r>
    <n v="27"/>
    <s v="Grays Harbor County"/>
    <x v="5"/>
    <n v="4432"/>
    <n v="2414"/>
    <n v="2018"/>
    <n v="2032"/>
    <n v="1724"/>
    <n v="676"/>
    <s v="PacMtn"/>
    <x v="5"/>
  </r>
  <r>
    <n v="27"/>
    <s v="Grays Harbor County"/>
    <x v="6"/>
    <n v="4577"/>
    <n v="2569"/>
    <n v="2008"/>
    <n v="2250"/>
    <n v="1763"/>
    <n v="564"/>
    <s v="PacMtn"/>
    <x v="5"/>
  </r>
  <r>
    <n v="27"/>
    <s v="Grays Harbor County"/>
    <x v="7"/>
    <n v="4213"/>
    <n v="2386"/>
    <n v="1827"/>
    <n v="2069"/>
    <n v="1647"/>
    <n v="497"/>
    <s v="PacMtn"/>
    <x v="5"/>
  </r>
  <r>
    <n v="27"/>
    <s v="Grays Harbor County"/>
    <x v="8"/>
    <n v="4235"/>
    <n v="2277"/>
    <n v="1958"/>
    <n v="2022"/>
    <n v="1758"/>
    <n v="455"/>
    <s v="PacMtn"/>
    <x v="5"/>
  </r>
  <r>
    <n v="27"/>
    <s v="Grays Harbor County"/>
    <x v="9"/>
    <n v="4434"/>
    <n v="2274"/>
    <n v="2160"/>
    <n v="2108"/>
    <n v="1921"/>
    <n v="405"/>
    <s v="PacMtn"/>
    <x v="5"/>
  </r>
  <r>
    <n v="27"/>
    <s v="Grays Harbor County"/>
    <x v="10"/>
    <n v="4953"/>
    <n v="2426"/>
    <n v="2527"/>
    <n v="2215"/>
    <n v="2286"/>
    <n v="452"/>
    <s v="PacMtn"/>
    <x v="5"/>
  </r>
  <r>
    <n v="27"/>
    <s v="Grays Harbor County"/>
    <x v="11"/>
    <n v="5512"/>
    <n v="2713"/>
    <n v="2799"/>
    <n v="2506"/>
    <n v="2582"/>
    <n v="424"/>
    <s v="PacMtn"/>
    <x v="5"/>
  </r>
  <r>
    <n v="27"/>
    <s v="Grays Harbor County"/>
    <x v="12"/>
    <n v="5351"/>
    <n v="2712"/>
    <n v="2639"/>
    <n v="2558"/>
    <n v="2462"/>
    <n v="331"/>
    <s v="PacMtn"/>
    <x v="5"/>
  </r>
  <r>
    <n v="27"/>
    <s v="Grays Harbor County"/>
    <x v="13"/>
    <n v="4776"/>
    <n v="2340"/>
    <n v="2436"/>
    <n v="2192"/>
    <n v="2281"/>
    <n v="303"/>
    <s v="PacMtn"/>
    <x v="5"/>
  </r>
  <r>
    <n v="27"/>
    <s v="Grays Harbor County"/>
    <x v="14"/>
    <n v="3786"/>
    <n v="1814"/>
    <n v="1972"/>
    <n v="1698"/>
    <n v="1839"/>
    <n v="249"/>
    <s v="PacMtn"/>
    <x v="5"/>
  </r>
  <r>
    <n v="27"/>
    <s v="Grays Harbor County"/>
    <x v="15"/>
    <n v="2734"/>
    <n v="1264"/>
    <n v="1470"/>
    <n v="1196"/>
    <n v="1390"/>
    <n v="148"/>
    <s v="PacMtn"/>
    <x v="5"/>
  </r>
  <r>
    <n v="27"/>
    <s v="Grays Harbor County"/>
    <x v="16"/>
    <n v="1970"/>
    <n v="883"/>
    <n v="1087"/>
    <n v="836"/>
    <n v="1026"/>
    <n v="108"/>
    <s v="PacMtn"/>
    <x v="5"/>
  </r>
  <r>
    <n v="27"/>
    <s v="Grays Harbor County"/>
    <x v="17"/>
    <n v="1514"/>
    <n v="632"/>
    <n v="882"/>
    <n v="602"/>
    <n v="846"/>
    <n v="66"/>
    <s v="PacMtn"/>
    <x v="5"/>
  </r>
  <r>
    <n v="27"/>
    <s v="Grays Harbor County"/>
    <x v="18"/>
    <n v="1351"/>
    <n v="476"/>
    <n v="875"/>
    <n v="459"/>
    <n v="848"/>
    <n v="44"/>
    <s v="PacMtn"/>
    <x v="5"/>
  </r>
  <r>
    <n v="29"/>
    <s v="Island County"/>
    <x v="0"/>
    <n v="81054"/>
    <n v="39858"/>
    <n v="41196"/>
    <n v="36024"/>
    <n v="36692"/>
    <n v="8338"/>
    <s v="Northwest"/>
    <x v="6"/>
  </r>
  <r>
    <n v="29"/>
    <s v="Island County"/>
    <x v="1"/>
    <n v="4551"/>
    <n v="2296"/>
    <n v="2255"/>
    <n v="1891"/>
    <n v="1826"/>
    <n v="834"/>
    <s v="Northwest"/>
    <x v="6"/>
  </r>
  <r>
    <n v="29"/>
    <s v="Island County"/>
    <x v="2"/>
    <n v="3951"/>
    <n v="1999"/>
    <n v="1952"/>
    <n v="1728"/>
    <n v="1666"/>
    <n v="557"/>
    <s v="Northwest"/>
    <x v="6"/>
  </r>
  <r>
    <n v="29"/>
    <s v="Island County"/>
    <x v="3"/>
    <n v="4542"/>
    <n v="2352"/>
    <n v="2190"/>
    <n v="2000"/>
    <n v="1859"/>
    <n v="683"/>
    <s v="Northwest"/>
    <x v="6"/>
  </r>
  <r>
    <n v="29"/>
    <s v="Island County"/>
    <x v="4"/>
    <n v="4771"/>
    <n v="2568"/>
    <n v="2203"/>
    <n v="2180"/>
    <n v="1859"/>
    <n v="732"/>
    <s v="Northwest"/>
    <x v="6"/>
  </r>
  <r>
    <n v="29"/>
    <s v="Island County"/>
    <x v="5"/>
    <n v="6504"/>
    <n v="3575"/>
    <n v="2929"/>
    <n v="3021"/>
    <n v="2548"/>
    <n v="935"/>
    <s v="Northwest"/>
    <x v="6"/>
  </r>
  <r>
    <n v="29"/>
    <s v="Island County"/>
    <x v="6"/>
    <n v="4849"/>
    <n v="2419"/>
    <n v="2430"/>
    <n v="2191"/>
    <n v="2216"/>
    <n v="442"/>
    <s v="Northwest"/>
    <x v="6"/>
  </r>
  <r>
    <n v="29"/>
    <s v="Island County"/>
    <x v="7"/>
    <n v="3101"/>
    <n v="1534"/>
    <n v="1567"/>
    <n v="1370"/>
    <n v="1396"/>
    <n v="335"/>
    <s v="Northwest"/>
    <x v="6"/>
  </r>
  <r>
    <n v="29"/>
    <s v="Island County"/>
    <x v="8"/>
    <n v="3891"/>
    <n v="2012"/>
    <n v="1879"/>
    <n v="1823"/>
    <n v="1655"/>
    <n v="413"/>
    <s v="Northwest"/>
    <x v="6"/>
  </r>
  <r>
    <n v="29"/>
    <s v="Island County"/>
    <x v="9"/>
    <n v="4298"/>
    <n v="2116"/>
    <n v="2182"/>
    <n v="1944"/>
    <n v="1862"/>
    <n v="492"/>
    <s v="Northwest"/>
    <x v="6"/>
  </r>
  <r>
    <n v="29"/>
    <s v="Island County"/>
    <x v="10"/>
    <n v="5441"/>
    <n v="2672"/>
    <n v="2769"/>
    <n v="2430"/>
    <n v="2393"/>
    <n v="618"/>
    <s v="Northwest"/>
    <x v="6"/>
  </r>
  <r>
    <n v="29"/>
    <s v="Island County"/>
    <x v="11"/>
    <n v="5829"/>
    <n v="2775"/>
    <n v="3054"/>
    <n v="2545"/>
    <n v="2696"/>
    <n v="588"/>
    <s v="Northwest"/>
    <x v="6"/>
  </r>
  <r>
    <n v="29"/>
    <s v="Island County"/>
    <x v="12"/>
    <n v="6250"/>
    <n v="2945"/>
    <n v="3305"/>
    <n v="2776"/>
    <n v="3022"/>
    <n v="452"/>
    <s v="Northwest"/>
    <x v="6"/>
  </r>
  <r>
    <n v="29"/>
    <s v="Island County"/>
    <x v="13"/>
    <n v="6078"/>
    <n v="2827"/>
    <n v="3251"/>
    <n v="2696"/>
    <n v="3008"/>
    <n v="374"/>
    <s v="Northwest"/>
    <x v="6"/>
  </r>
  <r>
    <n v="29"/>
    <s v="Island County"/>
    <x v="14"/>
    <n v="5535"/>
    <n v="2580"/>
    <n v="2955"/>
    <n v="2450"/>
    <n v="2731"/>
    <n v="354"/>
    <s v="Northwest"/>
    <x v="6"/>
  </r>
  <r>
    <n v="29"/>
    <s v="Island County"/>
    <x v="15"/>
    <n v="4322"/>
    <n v="2076"/>
    <n v="2246"/>
    <n v="1958"/>
    <n v="2108"/>
    <n v="256"/>
    <s v="Northwest"/>
    <x v="6"/>
  </r>
  <r>
    <n v="29"/>
    <s v="Island County"/>
    <x v="16"/>
    <n v="3123"/>
    <n v="1375"/>
    <n v="1748"/>
    <n v="1334"/>
    <n v="1650"/>
    <n v="139"/>
    <s v="Northwest"/>
    <x v="6"/>
  </r>
  <r>
    <n v="29"/>
    <s v="Island County"/>
    <x v="17"/>
    <n v="2077"/>
    <n v="940"/>
    <n v="1137"/>
    <n v="911"/>
    <n v="1079"/>
    <n v="87"/>
    <s v="Northwest"/>
    <x v="6"/>
  </r>
  <r>
    <n v="29"/>
    <s v="Island County"/>
    <x v="18"/>
    <n v="1941"/>
    <n v="797"/>
    <n v="1144"/>
    <n v="776"/>
    <n v="1118"/>
    <n v="47"/>
    <s v="Northwest"/>
    <x v="6"/>
  </r>
  <r>
    <n v="31"/>
    <s v="Jefferson County"/>
    <x v="0"/>
    <n v="29676"/>
    <n v="14560"/>
    <n v="15116"/>
    <n v="13483"/>
    <n v="14021"/>
    <n v="2172"/>
    <s v="Olympic"/>
    <x v="3"/>
  </r>
  <r>
    <n v="31"/>
    <s v="Jefferson County"/>
    <x v="1"/>
    <n v="1164"/>
    <n v="594"/>
    <n v="570"/>
    <n v="505"/>
    <n v="476"/>
    <n v="183"/>
    <s v="Olympic"/>
    <x v="3"/>
  </r>
  <r>
    <n v="31"/>
    <s v="Jefferson County"/>
    <x v="2"/>
    <n v="1205"/>
    <n v="582"/>
    <n v="623"/>
    <n v="520"/>
    <n v="532"/>
    <n v="153"/>
    <s v="Olympic"/>
    <x v="3"/>
  </r>
  <r>
    <n v="31"/>
    <s v="Jefferson County"/>
    <x v="3"/>
    <n v="1355"/>
    <n v="676"/>
    <n v="679"/>
    <n v="588"/>
    <n v="588"/>
    <n v="179"/>
    <s v="Olympic"/>
    <x v="3"/>
  </r>
  <r>
    <n v="31"/>
    <s v="Jefferson County"/>
    <x v="4"/>
    <n v="1444"/>
    <n v="751"/>
    <n v="693"/>
    <n v="661"/>
    <n v="606"/>
    <n v="177"/>
    <s v="Olympic"/>
    <x v="3"/>
  </r>
  <r>
    <n v="31"/>
    <s v="Jefferson County"/>
    <x v="5"/>
    <n v="1352"/>
    <n v="731"/>
    <n v="621"/>
    <n v="614"/>
    <n v="538"/>
    <n v="200"/>
    <s v="Olympic"/>
    <x v="3"/>
  </r>
  <r>
    <n v="31"/>
    <s v="Jefferson County"/>
    <x v="6"/>
    <n v="1153"/>
    <n v="651"/>
    <n v="502"/>
    <n v="566"/>
    <n v="438"/>
    <n v="149"/>
    <s v="Olympic"/>
    <x v="3"/>
  </r>
  <r>
    <n v="31"/>
    <s v="Jefferson County"/>
    <x v="7"/>
    <n v="985"/>
    <n v="549"/>
    <n v="436"/>
    <n v="491"/>
    <n v="382"/>
    <n v="112"/>
    <s v="Olympic"/>
    <x v="3"/>
  </r>
  <r>
    <n v="31"/>
    <s v="Jefferson County"/>
    <x v="8"/>
    <n v="1268"/>
    <n v="647"/>
    <n v="621"/>
    <n v="582"/>
    <n v="575"/>
    <n v="111"/>
    <s v="Olympic"/>
    <x v="3"/>
  </r>
  <r>
    <n v="31"/>
    <s v="Jefferson County"/>
    <x v="9"/>
    <n v="1374"/>
    <n v="668"/>
    <n v="706"/>
    <n v="617"/>
    <n v="642"/>
    <n v="115"/>
    <s v="Olympic"/>
    <x v="3"/>
  </r>
  <r>
    <n v="31"/>
    <s v="Jefferson County"/>
    <x v="10"/>
    <n v="1964"/>
    <n v="952"/>
    <n v="1012"/>
    <n v="873"/>
    <n v="953"/>
    <n v="138"/>
    <s v="Olympic"/>
    <x v="3"/>
  </r>
  <r>
    <n v="31"/>
    <s v="Jefferson County"/>
    <x v="11"/>
    <n v="2653"/>
    <n v="1253"/>
    <n v="1400"/>
    <n v="1181"/>
    <n v="1319"/>
    <n v="153"/>
    <s v="Olympic"/>
    <x v="3"/>
  </r>
  <r>
    <n v="31"/>
    <s v="Jefferson County"/>
    <x v="12"/>
    <n v="3004"/>
    <n v="1435"/>
    <n v="1569"/>
    <n v="1364"/>
    <n v="1487"/>
    <n v="153"/>
    <s v="Olympic"/>
    <x v="3"/>
  </r>
  <r>
    <n v="31"/>
    <s v="Jefferson County"/>
    <x v="13"/>
    <n v="3269"/>
    <n v="1550"/>
    <n v="1719"/>
    <n v="1503"/>
    <n v="1660"/>
    <n v="106"/>
    <s v="Olympic"/>
    <x v="3"/>
  </r>
  <r>
    <n v="31"/>
    <s v="Jefferson County"/>
    <x v="14"/>
    <n v="2677"/>
    <n v="1278"/>
    <n v="1399"/>
    <n v="1242"/>
    <n v="1359"/>
    <n v="76"/>
    <s v="Olympic"/>
    <x v="3"/>
  </r>
  <r>
    <n v="31"/>
    <s v="Jefferson County"/>
    <x v="15"/>
    <n v="1760"/>
    <n v="848"/>
    <n v="912"/>
    <n v="830"/>
    <n v="881"/>
    <n v="49"/>
    <s v="Olympic"/>
    <x v="3"/>
  </r>
  <r>
    <n v="31"/>
    <s v="Jefferson County"/>
    <x v="16"/>
    <n v="1245"/>
    <n v="618"/>
    <n v="627"/>
    <n v="600"/>
    <n v="600"/>
    <n v="45"/>
    <s v="Olympic"/>
    <x v="3"/>
  </r>
  <r>
    <n v="31"/>
    <s v="Jefferson County"/>
    <x v="17"/>
    <n v="943"/>
    <n v="429"/>
    <n v="514"/>
    <n v="413"/>
    <n v="493"/>
    <n v="37"/>
    <s v="Olympic"/>
    <x v="3"/>
  </r>
  <r>
    <n v="31"/>
    <s v="Jefferson County"/>
    <x v="18"/>
    <n v="861"/>
    <n v="348"/>
    <n v="513"/>
    <n v="333"/>
    <n v="492"/>
    <n v="36"/>
    <s v="Olympic"/>
    <x v="3"/>
  </r>
  <r>
    <n v="33"/>
    <s v="King County"/>
    <x v="0"/>
    <n v="1916441"/>
    <n v="958922"/>
    <n v="957519"/>
    <n v="717561"/>
    <n v="709294"/>
    <n v="489586"/>
    <s v="King"/>
    <x v="7"/>
  </r>
  <r>
    <n v="33"/>
    <s v="King County"/>
    <x v="1"/>
    <n v="122232"/>
    <n v="62378"/>
    <n v="59854"/>
    <n v="40523"/>
    <n v="38437"/>
    <n v="43272"/>
    <s v="King"/>
    <x v="7"/>
  </r>
  <r>
    <n v="33"/>
    <s v="King County"/>
    <x v="2"/>
    <n v="113826"/>
    <n v="57896"/>
    <n v="55930"/>
    <n v="38622"/>
    <n v="37249"/>
    <n v="37955"/>
    <s v="King"/>
    <x v="7"/>
  </r>
  <r>
    <n v="33"/>
    <s v="King County"/>
    <x v="3"/>
    <n v="105472"/>
    <n v="54142"/>
    <n v="51330"/>
    <n v="37293"/>
    <n v="35247"/>
    <n v="32932"/>
    <s v="King"/>
    <x v="7"/>
  </r>
  <r>
    <n v="33"/>
    <s v="King County"/>
    <x v="4"/>
    <n v="111024"/>
    <n v="57033"/>
    <n v="53991"/>
    <n v="40260"/>
    <n v="37825"/>
    <n v="32939"/>
    <s v="King"/>
    <x v="7"/>
  </r>
  <r>
    <n v="33"/>
    <s v="King County"/>
    <x v="5"/>
    <n v="121232"/>
    <n v="62284"/>
    <n v="58948"/>
    <n v="45069"/>
    <n v="42229"/>
    <n v="33934"/>
    <s v="King"/>
    <x v="7"/>
  </r>
  <r>
    <n v="33"/>
    <s v="King County"/>
    <x v="6"/>
    <n v="167338"/>
    <n v="85644"/>
    <n v="81694"/>
    <n v="62412"/>
    <n v="58387"/>
    <n v="46539"/>
    <s v="King"/>
    <x v="7"/>
  </r>
  <r>
    <n v="33"/>
    <s v="King County"/>
    <x v="7"/>
    <n v="160285"/>
    <n v="81363"/>
    <n v="78922"/>
    <n v="59211"/>
    <n v="55732"/>
    <n v="45342"/>
    <s v="King"/>
    <x v="7"/>
  </r>
  <r>
    <n v="33"/>
    <s v="King County"/>
    <x v="8"/>
    <n v="151802"/>
    <n v="78120"/>
    <n v="73682"/>
    <n v="57316"/>
    <n v="52416"/>
    <n v="42070"/>
    <s v="King"/>
    <x v="7"/>
  </r>
  <r>
    <n v="33"/>
    <s v="King County"/>
    <x v="9"/>
    <n v="145446"/>
    <n v="75004"/>
    <n v="70442"/>
    <n v="57640"/>
    <n v="52796"/>
    <n v="35010"/>
    <s v="King"/>
    <x v="7"/>
  </r>
  <r>
    <n v="33"/>
    <s v="King County"/>
    <x v="10"/>
    <n v="149964"/>
    <n v="75904"/>
    <n v="74060"/>
    <n v="59800"/>
    <n v="57406"/>
    <n v="32758"/>
    <s v="King"/>
    <x v="7"/>
  </r>
  <r>
    <n v="33"/>
    <s v="King County"/>
    <x v="11"/>
    <n v="143272"/>
    <n v="71698"/>
    <n v="71574"/>
    <n v="57670"/>
    <n v="57013"/>
    <n v="28589"/>
    <s v="King"/>
    <x v="7"/>
  </r>
  <r>
    <n v="33"/>
    <s v="King County"/>
    <x v="12"/>
    <n v="123240"/>
    <n v="60639"/>
    <n v="62601"/>
    <n v="49192"/>
    <n v="50238"/>
    <n v="23810"/>
    <s v="King"/>
    <x v="7"/>
  </r>
  <r>
    <n v="33"/>
    <s v="King County"/>
    <x v="13"/>
    <n v="96306"/>
    <n v="47107"/>
    <n v="49199"/>
    <n v="38755"/>
    <n v="39954"/>
    <n v="17597"/>
    <s v="King"/>
    <x v="7"/>
  </r>
  <r>
    <n v="33"/>
    <s v="King County"/>
    <x v="14"/>
    <n v="62414"/>
    <n v="30527"/>
    <n v="31887"/>
    <n v="24872"/>
    <n v="25533"/>
    <n v="12009"/>
    <s v="King"/>
    <x v="7"/>
  </r>
  <r>
    <n v="33"/>
    <s v="King County"/>
    <x v="15"/>
    <n v="43428"/>
    <n v="20492"/>
    <n v="22936"/>
    <n v="16281"/>
    <n v="18069"/>
    <n v="9078"/>
    <s v="King"/>
    <x v="7"/>
  </r>
  <r>
    <n v="33"/>
    <s v="King County"/>
    <x v="16"/>
    <n v="35614"/>
    <n v="15860"/>
    <n v="19754"/>
    <n v="13117"/>
    <n v="15961"/>
    <n v="6536"/>
    <s v="King"/>
    <x v="7"/>
  </r>
  <r>
    <n v="33"/>
    <s v="King County"/>
    <x v="17"/>
    <n v="30094"/>
    <n v="11970"/>
    <n v="18124"/>
    <n v="10161"/>
    <n v="15080"/>
    <n v="4853"/>
    <s v="King"/>
    <x v="7"/>
  </r>
  <r>
    <n v="33"/>
    <s v="King County"/>
    <x v="18"/>
    <n v="33452"/>
    <n v="10861"/>
    <n v="22591"/>
    <n v="9367"/>
    <n v="19722"/>
    <n v="4363"/>
    <s v="King"/>
    <x v="7"/>
  </r>
  <r>
    <n v="35"/>
    <s v="Kitsap County"/>
    <x v="0"/>
    <n v="240862"/>
    <n v="121651"/>
    <n v="119211"/>
    <n v="104806"/>
    <n v="101415"/>
    <n v="34641"/>
    <s v="Olympic"/>
    <x v="3"/>
  </r>
  <r>
    <n v="35"/>
    <s v="Kitsap County"/>
    <x v="1"/>
    <n v="14708"/>
    <n v="7423"/>
    <n v="7285"/>
    <n v="5816"/>
    <n v="5743"/>
    <n v="3149"/>
    <s v="Olympic"/>
    <x v="3"/>
  </r>
  <r>
    <n v="35"/>
    <s v="Kitsap County"/>
    <x v="2"/>
    <n v="14360"/>
    <n v="7381"/>
    <n v="6979"/>
    <n v="5917"/>
    <n v="5603"/>
    <n v="2840"/>
    <s v="Olympic"/>
    <x v="3"/>
  </r>
  <r>
    <n v="35"/>
    <s v="Kitsap County"/>
    <x v="3"/>
    <n v="15351"/>
    <n v="8019"/>
    <n v="7332"/>
    <n v="6497"/>
    <n v="5899"/>
    <n v="2955"/>
    <s v="Olympic"/>
    <x v="3"/>
  </r>
  <r>
    <n v="35"/>
    <s v="Kitsap County"/>
    <x v="4"/>
    <n v="16624"/>
    <n v="8748"/>
    <n v="7876"/>
    <n v="7155"/>
    <n v="6394"/>
    <n v="3075"/>
    <s v="Olympic"/>
    <x v="3"/>
  </r>
  <r>
    <n v="35"/>
    <s v="Kitsap County"/>
    <x v="5"/>
    <n v="18422"/>
    <n v="10345"/>
    <n v="8077"/>
    <n v="8441"/>
    <n v="6551"/>
    <n v="3430"/>
    <s v="Olympic"/>
    <x v="3"/>
  </r>
  <r>
    <n v="35"/>
    <s v="Kitsap County"/>
    <x v="6"/>
    <n v="15189"/>
    <n v="8042"/>
    <n v="7147"/>
    <n v="6858"/>
    <n v="6078"/>
    <n v="2253"/>
    <s v="Olympic"/>
    <x v="3"/>
  </r>
  <r>
    <n v="35"/>
    <s v="Kitsap County"/>
    <x v="7"/>
    <n v="11694"/>
    <n v="6234"/>
    <n v="5460"/>
    <n v="5326"/>
    <n v="4608"/>
    <n v="1760"/>
    <s v="Olympic"/>
    <x v="3"/>
  </r>
  <r>
    <n v="35"/>
    <s v="Kitsap County"/>
    <x v="8"/>
    <n v="14460"/>
    <n v="7489"/>
    <n v="6971"/>
    <n v="6418"/>
    <n v="5925"/>
    <n v="2117"/>
    <s v="Olympic"/>
    <x v="3"/>
  </r>
  <r>
    <n v="35"/>
    <s v="Kitsap County"/>
    <x v="9"/>
    <n v="15808"/>
    <n v="7904"/>
    <n v="7904"/>
    <n v="6933"/>
    <n v="6716"/>
    <n v="2159"/>
    <s v="Olympic"/>
    <x v="3"/>
  </r>
  <r>
    <n v="35"/>
    <s v="Kitsap County"/>
    <x v="10"/>
    <n v="18830"/>
    <n v="9263"/>
    <n v="9567"/>
    <n v="8286"/>
    <n v="8255"/>
    <n v="2289"/>
    <s v="Olympic"/>
    <x v="3"/>
  </r>
  <r>
    <n v="35"/>
    <s v="Kitsap County"/>
    <x v="11"/>
    <n v="19539"/>
    <n v="9547"/>
    <n v="9992"/>
    <n v="8488"/>
    <n v="8651"/>
    <n v="2400"/>
    <s v="Olympic"/>
    <x v="3"/>
  </r>
  <r>
    <n v="35"/>
    <s v="Kitsap County"/>
    <x v="12"/>
    <n v="18251"/>
    <n v="8940"/>
    <n v="9311"/>
    <n v="8051"/>
    <n v="8198"/>
    <n v="2002"/>
    <s v="Olympic"/>
    <x v="3"/>
  </r>
  <r>
    <n v="35"/>
    <s v="Kitsap County"/>
    <x v="13"/>
    <n v="15484"/>
    <n v="7632"/>
    <n v="7852"/>
    <n v="7005"/>
    <n v="6997"/>
    <n v="1482"/>
    <s v="Olympic"/>
    <x v="3"/>
  </r>
  <r>
    <n v="35"/>
    <s v="Kitsap County"/>
    <x v="14"/>
    <n v="10848"/>
    <n v="5421"/>
    <n v="5427"/>
    <n v="4985"/>
    <n v="4825"/>
    <n v="1038"/>
    <s v="Olympic"/>
    <x v="3"/>
  </r>
  <r>
    <n v="35"/>
    <s v="Kitsap County"/>
    <x v="15"/>
    <n v="7318"/>
    <n v="3589"/>
    <n v="3729"/>
    <n v="3290"/>
    <n v="3340"/>
    <n v="688"/>
    <s v="Olympic"/>
    <x v="3"/>
  </r>
  <r>
    <n v="35"/>
    <s v="Kitsap County"/>
    <x v="16"/>
    <n v="5607"/>
    <n v="2513"/>
    <n v="3094"/>
    <n v="2355"/>
    <n v="2753"/>
    <n v="499"/>
    <s v="Olympic"/>
    <x v="3"/>
  </r>
  <r>
    <n v="35"/>
    <s v="Kitsap County"/>
    <x v="17"/>
    <n v="4312"/>
    <n v="1823"/>
    <n v="2489"/>
    <n v="1712"/>
    <n v="2300"/>
    <n v="300"/>
    <s v="Olympic"/>
    <x v="3"/>
  </r>
  <r>
    <n v="35"/>
    <s v="Kitsap County"/>
    <x v="18"/>
    <n v="4057"/>
    <n v="1338"/>
    <n v="2719"/>
    <n v="1273"/>
    <n v="2579"/>
    <n v="205"/>
    <s v="Olympic"/>
    <x v="3"/>
  </r>
  <r>
    <n v="37"/>
    <s v="Kittitas County"/>
    <x v="0"/>
    <n v="39532"/>
    <n v="19570"/>
    <n v="19962"/>
    <n v="18146"/>
    <n v="18351"/>
    <n v="3035"/>
    <s v="South Central"/>
    <x v="8"/>
  </r>
  <r>
    <n v="37"/>
    <s v="Kittitas County"/>
    <x v="1"/>
    <n v="1957"/>
    <n v="1001"/>
    <n v="956"/>
    <n v="909"/>
    <n v="859"/>
    <n v="189"/>
    <s v="South Central"/>
    <x v="8"/>
  </r>
  <r>
    <n v="37"/>
    <s v="Kittitas County"/>
    <x v="2"/>
    <n v="1967"/>
    <n v="977"/>
    <n v="990"/>
    <n v="904"/>
    <n v="903"/>
    <n v="160"/>
    <s v="South Central"/>
    <x v="8"/>
  </r>
  <r>
    <n v="37"/>
    <s v="Kittitas County"/>
    <x v="3"/>
    <n v="1911"/>
    <n v="944"/>
    <n v="967"/>
    <n v="876"/>
    <n v="889"/>
    <n v="146"/>
    <s v="South Central"/>
    <x v="8"/>
  </r>
  <r>
    <n v="37"/>
    <s v="Kittitas County"/>
    <x v="4"/>
    <n v="3764"/>
    <n v="1839"/>
    <n v="1925"/>
    <n v="1667"/>
    <n v="1700"/>
    <n v="397"/>
    <s v="South Central"/>
    <x v="8"/>
  </r>
  <r>
    <n v="37"/>
    <s v="Kittitas County"/>
    <x v="5"/>
    <n v="7948"/>
    <n v="3895"/>
    <n v="4053"/>
    <n v="3493"/>
    <n v="3568"/>
    <n v="887"/>
    <s v="South Central"/>
    <x v="8"/>
  </r>
  <r>
    <n v="37"/>
    <s v="Kittitas County"/>
    <x v="6"/>
    <n v="2601"/>
    <n v="1295"/>
    <n v="1306"/>
    <n v="1129"/>
    <n v="1125"/>
    <n v="347"/>
    <s v="South Central"/>
    <x v="8"/>
  </r>
  <r>
    <n v="37"/>
    <s v="Kittitas County"/>
    <x v="7"/>
    <n v="1297"/>
    <n v="810"/>
    <n v="487"/>
    <n v="699"/>
    <n v="404"/>
    <n v="194"/>
    <s v="South Central"/>
    <x v="8"/>
  </r>
  <r>
    <n v="37"/>
    <s v="Kittitas County"/>
    <x v="8"/>
    <n v="2002"/>
    <n v="1066"/>
    <n v="936"/>
    <n v="993"/>
    <n v="870"/>
    <n v="139"/>
    <s v="South Central"/>
    <x v="8"/>
  </r>
  <r>
    <n v="37"/>
    <s v="Kittitas County"/>
    <x v="9"/>
    <n v="2070"/>
    <n v="1012"/>
    <n v="1058"/>
    <n v="963"/>
    <n v="992"/>
    <n v="115"/>
    <s v="South Central"/>
    <x v="8"/>
  </r>
  <r>
    <n v="37"/>
    <s v="Kittitas County"/>
    <x v="10"/>
    <n v="2230"/>
    <n v="1086"/>
    <n v="1144"/>
    <n v="1046"/>
    <n v="1102"/>
    <n v="82"/>
    <s v="South Central"/>
    <x v="8"/>
  </r>
  <r>
    <n v="37"/>
    <s v="Kittitas County"/>
    <x v="11"/>
    <n v="2401"/>
    <n v="1194"/>
    <n v="1207"/>
    <n v="1149"/>
    <n v="1149"/>
    <n v="103"/>
    <s v="South Central"/>
    <x v="8"/>
  </r>
  <r>
    <n v="37"/>
    <s v="Kittitas County"/>
    <x v="12"/>
    <n v="2318"/>
    <n v="1117"/>
    <n v="1201"/>
    <n v="1079"/>
    <n v="1164"/>
    <n v="75"/>
    <s v="South Central"/>
    <x v="8"/>
  </r>
  <r>
    <n v="37"/>
    <s v="Kittitas County"/>
    <x v="13"/>
    <n v="2173"/>
    <n v="1063"/>
    <n v="1110"/>
    <n v="1033"/>
    <n v="1070"/>
    <n v="70"/>
    <s v="South Central"/>
    <x v="8"/>
  </r>
  <r>
    <n v="37"/>
    <s v="Kittitas County"/>
    <x v="14"/>
    <n v="1606"/>
    <n v="772"/>
    <n v="834"/>
    <n v="749"/>
    <n v="810"/>
    <n v="47"/>
    <s v="South Central"/>
    <x v="8"/>
  </r>
  <r>
    <n v="37"/>
    <s v="Kittitas County"/>
    <x v="15"/>
    <n v="1209"/>
    <n v="611"/>
    <n v="598"/>
    <n v="596"/>
    <n v="580"/>
    <n v="33"/>
    <s v="South Central"/>
    <x v="8"/>
  </r>
  <r>
    <n v="37"/>
    <s v="Kittitas County"/>
    <x v="16"/>
    <n v="844"/>
    <n v="395"/>
    <n v="449"/>
    <n v="381"/>
    <n v="441"/>
    <n v="22"/>
    <s v="South Central"/>
    <x v="8"/>
  </r>
  <r>
    <n v="37"/>
    <s v="Kittitas County"/>
    <x v="17"/>
    <n v="590"/>
    <n v="282"/>
    <n v="308"/>
    <n v="274"/>
    <n v="299"/>
    <n v="17"/>
    <s v="South Central"/>
    <x v="8"/>
  </r>
  <r>
    <n v="37"/>
    <s v="Kittitas County"/>
    <x v="18"/>
    <n v="644"/>
    <n v="211"/>
    <n v="433"/>
    <n v="206"/>
    <n v="426"/>
    <n v="12"/>
    <s v="South Central"/>
    <x v="8"/>
  </r>
  <r>
    <n v="39"/>
    <s v="Klickitat County"/>
    <x v="0"/>
    <n v="20554"/>
    <n v="10274"/>
    <n v="10280"/>
    <n v="9534"/>
    <n v="9546"/>
    <n v="1474"/>
    <s v="South Central"/>
    <x v="8"/>
  </r>
  <r>
    <n v="39"/>
    <s v="Klickitat County"/>
    <x v="1"/>
    <n v="1238"/>
    <n v="650"/>
    <n v="588"/>
    <n v="579"/>
    <n v="531"/>
    <n v="128"/>
    <s v="South Central"/>
    <x v="8"/>
  </r>
  <r>
    <n v="39"/>
    <s v="Klickitat County"/>
    <x v="2"/>
    <n v="1314"/>
    <n v="684"/>
    <n v="630"/>
    <n v="616"/>
    <n v="572"/>
    <n v="126"/>
    <s v="South Central"/>
    <x v="8"/>
  </r>
  <r>
    <n v="39"/>
    <s v="Klickitat County"/>
    <x v="3"/>
    <n v="1319"/>
    <n v="657"/>
    <n v="662"/>
    <n v="576"/>
    <n v="592"/>
    <n v="151"/>
    <s v="South Central"/>
    <x v="8"/>
  </r>
  <r>
    <n v="39"/>
    <s v="Klickitat County"/>
    <x v="4"/>
    <n v="1259"/>
    <n v="649"/>
    <n v="610"/>
    <n v="585"/>
    <n v="542"/>
    <n v="132"/>
    <s v="South Central"/>
    <x v="8"/>
  </r>
  <r>
    <n v="39"/>
    <s v="Klickitat County"/>
    <x v="5"/>
    <n v="995"/>
    <n v="521"/>
    <n v="474"/>
    <n v="439"/>
    <n v="414"/>
    <n v="142"/>
    <s v="South Central"/>
    <x v="8"/>
  </r>
  <r>
    <n v="39"/>
    <s v="Klickitat County"/>
    <x v="6"/>
    <n v="941"/>
    <n v="540"/>
    <n v="401"/>
    <n v="493"/>
    <n v="360"/>
    <n v="88"/>
    <s v="South Central"/>
    <x v="8"/>
  </r>
  <r>
    <n v="39"/>
    <s v="Klickitat County"/>
    <x v="7"/>
    <n v="949"/>
    <n v="451"/>
    <n v="498"/>
    <n v="417"/>
    <n v="459"/>
    <n v="73"/>
    <s v="South Central"/>
    <x v="8"/>
  </r>
  <r>
    <n v="39"/>
    <s v="Klickitat County"/>
    <x v="8"/>
    <n v="1199"/>
    <n v="586"/>
    <n v="613"/>
    <n v="543"/>
    <n v="579"/>
    <n v="77"/>
    <s v="South Central"/>
    <x v="8"/>
  </r>
  <r>
    <n v="39"/>
    <s v="Klickitat County"/>
    <x v="9"/>
    <n v="1106"/>
    <n v="565"/>
    <n v="541"/>
    <n v="538"/>
    <n v="504"/>
    <n v="64"/>
    <s v="South Central"/>
    <x v="8"/>
  </r>
  <r>
    <n v="39"/>
    <s v="Klickitat County"/>
    <x v="10"/>
    <n v="1504"/>
    <n v="709"/>
    <n v="795"/>
    <n v="663"/>
    <n v="729"/>
    <n v="112"/>
    <s v="South Central"/>
    <x v="8"/>
  </r>
  <r>
    <n v="39"/>
    <s v="Klickitat County"/>
    <x v="11"/>
    <n v="1740"/>
    <n v="874"/>
    <n v="866"/>
    <n v="832"/>
    <n v="804"/>
    <n v="104"/>
    <s v="South Central"/>
    <x v="8"/>
  </r>
  <r>
    <n v="39"/>
    <s v="Klickitat County"/>
    <x v="12"/>
    <n v="1865"/>
    <n v="902"/>
    <n v="963"/>
    <n v="857"/>
    <n v="925"/>
    <n v="83"/>
    <s v="South Central"/>
    <x v="8"/>
  </r>
  <r>
    <n v="39"/>
    <s v="Klickitat County"/>
    <x v="13"/>
    <n v="1627"/>
    <n v="827"/>
    <n v="800"/>
    <n v="799"/>
    <n v="768"/>
    <n v="60"/>
    <s v="South Central"/>
    <x v="8"/>
  </r>
  <r>
    <n v="39"/>
    <s v="Klickitat County"/>
    <x v="14"/>
    <n v="1235"/>
    <n v="622"/>
    <n v="613"/>
    <n v="601"/>
    <n v="594"/>
    <n v="40"/>
    <s v="South Central"/>
    <x v="8"/>
  </r>
  <r>
    <n v="39"/>
    <s v="Klickitat County"/>
    <x v="15"/>
    <n v="842"/>
    <n v="426"/>
    <n v="416"/>
    <n v="410"/>
    <n v="399"/>
    <n v="33"/>
    <s v="South Central"/>
    <x v="8"/>
  </r>
  <r>
    <n v="39"/>
    <s v="Klickitat County"/>
    <x v="16"/>
    <n v="559"/>
    <n v="269"/>
    <n v="290"/>
    <n v="260"/>
    <n v="281"/>
    <n v="18"/>
    <s v="South Central"/>
    <x v="8"/>
  </r>
  <r>
    <n v="39"/>
    <s v="Klickitat County"/>
    <x v="17"/>
    <n v="441"/>
    <n v="207"/>
    <n v="234"/>
    <n v="202"/>
    <n v="221"/>
    <n v="18"/>
    <s v="South Central"/>
    <x v="8"/>
  </r>
  <r>
    <n v="39"/>
    <s v="Klickitat County"/>
    <x v="18"/>
    <n v="421"/>
    <n v="135"/>
    <n v="286"/>
    <n v="124"/>
    <n v="272"/>
    <n v="25"/>
    <s v="South Central"/>
    <x v="8"/>
  </r>
  <r>
    <n v="41"/>
    <s v="Lewis County"/>
    <x v="0"/>
    <n v="74741"/>
    <n v="37295"/>
    <n v="37446"/>
    <n v="35332"/>
    <n v="35600"/>
    <n v="3809"/>
    <s v="PacMtn"/>
    <x v="5"/>
  </r>
  <r>
    <n v="41"/>
    <s v="Lewis County"/>
    <x v="1"/>
    <n v="4833"/>
    <n v="2494"/>
    <n v="2339"/>
    <n v="2234"/>
    <n v="2092"/>
    <n v="507"/>
    <s v="PacMtn"/>
    <x v="5"/>
  </r>
  <r>
    <n v="41"/>
    <s v="Lewis County"/>
    <x v="2"/>
    <n v="4668"/>
    <n v="2384"/>
    <n v="2284"/>
    <n v="2185"/>
    <n v="2068"/>
    <n v="415"/>
    <s v="PacMtn"/>
    <x v="5"/>
  </r>
  <r>
    <n v="41"/>
    <s v="Lewis County"/>
    <x v="3"/>
    <n v="4839"/>
    <n v="2448"/>
    <n v="2391"/>
    <n v="2283"/>
    <n v="2250"/>
    <n v="306"/>
    <s v="PacMtn"/>
    <x v="5"/>
  </r>
  <r>
    <n v="41"/>
    <s v="Lewis County"/>
    <x v="4"/>
    <n v="5129"/>
    <n v="2772"/>
    <n v="2357"/>
    <n v="2549"/>
    <n v="2194"/>
    <n v="386"/>
    <s v="PacMtn"/>
    <x v="5"/>
  </r>
  <r>
    <n v="41"/>
    <s v="Lewis County"/>
    <x v="5"/>
    <n v="4473"/>
    <n v="2359"/>
    <n v="2114"/>
    <n v="2190"/>
    <n v="1964"/>
    <n v="319"/>
    <s v="PacMtn"/>
    <x v="5"/>
  </r>
  <r>
    <n v="41"/>
    <s v="Lewis County"/>
    <x v="6"/>
    <n v="4750"/>
    <n v="2519"/>
    <n v="2231"/>
    <n v="2382"/>
    <n v="2144"/>
    <n v="224"/>
    <s v="PacMtn"/>
    <x v="5"/>
  </r>
  <r>
    <n v="41"/>
    <s v="Lewis County"/>
    <x v="7"/>
    <n v="3880"/>
    <n v="1998"/>
    <n v="1882"/>
    <n v="1903"/>
    <n v="1794"/>
    <n v="183"/>
    <s v="PacMtn"/>
    <x v="5"/>
  </r>
  <r>
    <n v="41"/>
    <s v="Lewis County"/>
    <x v="8"/>
    <n v="4243"/>
    <n v="2159"/>
    <n v="2084"/>
    <n v="2049"/>
    <n v="1992"/>
    <n v="202"/>
    <s v="PacMtn"/>
    <x v="5"/>
  </r>
  <r>
    <n v="41"/>
    <s v="Lewis County"/>
    <x v="9"/>
    <n v="4243"/>
    <n v="2133"/>
    <n v="2110"/>
    <n v="2031"/>
    <n v="2020"/>
    <n v="192"/>
    <s v="PacMtn"/>
    <x v="5"/>
  </r>
  <r>
    <n v="41"/>
    <s v="Lewis County"/>
    <x v="10"/>
    <n v="5201"/>
    <n v="2497"/>
    <n v="2704"/>
    <n v="2413"/>
    <n v="2589"/>
    <n v="199"/>
    <s v="PacMtn"/>
    <x v="5"/>
  </r>
  <r>
    <n v="41"/>
    <s v="Lewis County"/>
    <x v="11"/>
    <n v="5534"/>
    <n v="2768"/>
    <n v="2766"/>
    <n v="2678"/>
    <n v="2653"/>
    <n v="203"/>
    <s v="PacMtn"/>
    <x v="5"/>
  </r>
  <r>
    <n v="41"/>
    <s v="Lewis County"/>
    <x v="12"/>
    <n v="5399"/>
    <n v="2674"/>
    <n v="2725"/>
    <n v="2570"/>
    <n v="2634"/>
    <n v="195"/>
    <s v="PacMtn"/>
    <x v="5"/>
  </r>
  <r>
    <n v="41"/>
    <s v="Lewis County"/>
    <x v="13"/>
    <n v="4863"/>
    <n v="2369"/>
    <n v="2494"/>
    <n v="2298"/>
    <n v="2418"/>
    <n v="147"/>
    <s v="PacMtn"/>
    <x v="5"/>
  </r>
  <r>
    <n v="41"/>
    <s v="Lewis County"/>
    <x v="14"/>
    <n v="3968"/>
    <n v="1892"/>
    <n v="2076"/>
    <n v="1837"/>
    <n v="2020"/>
    <n v="111"/>
    <s v="PacMtn"/>
    <x v="5"/>
  </r>
  <r>
    <n v="41"/>
    <s v="Lewis County"/>
    <x v="15"/>
    <n v="3078"/>
    <n v="1466"/>
    <n v="1612"/>
    <n v="1429"/>
    <n v="1570"/>
    <n v="79"/>
    <s v="PacMtn"/>
    <x v="5"/>
  </r>
  <r>
    <n v="41"/>
    <s v="Lewis County"/>
    <x v="16"/>
    <n v="2278"/>
    <n v="1015"/>
    <n v="1263"/>
    <n v="986"/>
    <n v="1229"/>
    <n v="63"/>
    <s v="PacMtn"/>
    <x v="5"/>
  </r>
  <r>
    <n v="41"/>
    <s v="Lewis County"/>
    <x v="17"/>
    <n v="1764"/>
    <n v="799"/>
    <n v="965"/>
    <n v="778"/>
    <n v="941"/>
    <n v="45"/>
    <s v="PacMtn"/>
    <x v="5"/>
  </r>
  <r>
    <n v="41"/>
    <s v="Lewis County"/>
    <x v="18"/>
    <n v="1598"/>
    <n v="549"/>
    <n v="1049"/>
    <n v="537"/>
    <n v="1028"/>
    <n v="33"/>
    <s v="PacMtn"/>
    <x v="5"/>
  </r>
  <r>
    <n v="43"/>
    <s v="Lincoln County"/>
    <x v="0"/>
    <n v="10248"/>
    <n v="5080"/>
    <n v="5168"/>
    <n v="4845"/>
    <n v="4890"/>
    <n v="513"/>
    <s v="Eastern"/>
    <x v="1"/>
  </r>
  <r>
    <n v="43"/>
    <s v="Lincoln County"/>
    <x v="1"/>
    <n v="555"/>
    <n v="296"/>
    <n v="259"/>
    <n v="273"/>
    <n v="233"/>
    <n v="49"/>
    <s v="Eastern"/>
    <x v="1"/>
  </r>
  <r>
    <n v="43"/>
    <s v="Lincoln County"/>
    <x v="2"/>
    <n v="597"/>
    <n v="309"/>
    <n v="288"/>
    <n v="291"/>
    <n v="265"/>
    <n v="41"/>
    <s v="Eastern"/>
    <x v="1"/>
  </r>
  <r>
    <n v="43"/>
    <s v="Lincoln County"/>
    <x v="3"/>
    <n v="714"/>
    <n v="385"/>
    <n v="329"/>
    <n v="352"/>
    <n v="309"/>
    <n v="53"/>
    <s v="Eastern"/>
    <x v="1"/>
  </r>
  <r>
    <n v="43"/>
    <s v="Lincoln County"/>
    <x v="4"/>
    <n v="711"/>
    <n v="382"/>
    <n v="329"/>
    <n v="352"/>
    <n v="302"/>
    <n v="57"/>
    <s v="Eastern"/>
    <x v="1"/>
  </r>
  <r>
    <n v="43"/>
    <s v="Lincoln County"/>
    <x v="5"/>
    <n v="450"/>
    <n v="231"/>
    <n v="219"/>
    <n v="213"/>
    <n v="195"/>
    <n v="42"/>
    <s v="Eastern"/>
    <x v="1"/>
  </r>
  <r>
    <n v="43"/>
    <s v="Lincoln County"/>
    <x v="6"/>
    <n v="328"/>
    <n v="174"/>
    <n v="154"/>
    <n v="162"/>
    <n v="133"/>
    <n v="33"/>
    <s v="Eastern"/>
    <x v="1"/>
  </r>
  <r>
    <n v="43"/>
    <s v="Lincoln County"/>
    <x v="7"/>
    <n v="396"/>
    <n v="202"/>
    <n v="194"/>
    <n v="193"/>
    <n v="178"/>
    <n v="25"/>
    <s v="Eastern"/>
    <x v="1"/>
  </r>
  <r>
    <n v="43"/>
    <s v="Lincoln County"/>
    <x v="8"/>
    <n v="492"/>
    <n v="248"/>
    <n v="244"/>
    <n v="237"/>
    <n v="231"/>
    <n v="24"/>
    <s v="Eastern"/>
    <x v="1"/>
  </r>
  <r>
    <n v="43"/>
    <s v="Lincoln County"/>
    <x v="9"/>
    <n v="590"/>
    <n v="289"/>
    <n v="301"/>
    <n v="285"/>
    <n v="288"/>
    <n v="17"/>
    <s v="Eastern"/>
    <x v="1"/>
  </r>
  <r>
    <n v="43"/>
    <s v="Lincoln County"/>
    <x v="10"/>
    <n v="693"/>
    <n v="314"/>
    <n v="379"/>
    <n v="300"/>
    <n v="360"/>
    <n v="33"/>
    <s v="Eastern"/>
    <x v="1"/>
  </r>
  <r>
    <n v="43"/>
    <s v="Lincoln County"/>
    <x v="11"/>
    <n v="880"/>
    <n v="425"/>
    <n v="455"/>
    <n v="412"/>
    <n v="439"/>
    <n v="29"/>
    <s v="Eastern"/>
    <x v="1"/>
  </r>
  <r>
    <n v="43"/>
    <s v="Lincoln County"/>
    <x v="12"/>
    <n v="877"/>
    <n v="447"/>
    <n v="430"/>
    <n v="431"/>
    <n v="414"/>
    <n v="32"/>
    <s v="Eastern"/>
    <x v="1"/>
  </r>
  <r>
    <n v="43"/>
    <s v="Lincoln County"/>
    <x v="13"/>
    <n v="832"/>
    <n v="389"/>
    <n v="443"/>
    <n v="381"/>
    <n v="432"/>
    <n v="19"/>
    <s v="Eastern"/>
    <x v="1"/>
  </r>
  <r>
    <n v="43"/>
    <s v="Lincoln County"/>
    <x v="14"/>
    <n v="639"/>
    <n v="305"/>
    <n v="334"/>
    <n v="295"/>
    <n v="326"/>
    <n v="18"/>
    <s v="Eastern"/>
    <x v="1"/>
  </r>
  <r>
    <n v="43"/>
    <s v="Lincoln County"/>
    <x v="15"/>
    <n v="490"/>
    <n v="248"/>
    <n v="242"/>
    <n v="243"/>
    <n v="232"/>
    <n v="15"/>
    <s v="Eastern"/>
    <x v="1"/>
  </r>
  <r>
    <n v="43"/>
    <s v="Lincoln County"/>
    <x v="16"/>
    <n v="404"/>
    <n v="182"/>
    <n v="222"/>
    <n v="178"/>
    <n v="216"/>
    <n v="10"/>
    <s v="Eastern"/>
    <x v="1"/>
  </r>
  <r>
    <n v="43"/>
    <s v="Lincoln County"/>
    <x v="17"/>
    <n v="261"/>
    <n v="124"/>
    <n v="137"/>
    <n v="121"/>
    <n v="137"/>
    <n v="3"/>
    <s v="Eastern"/>
    <x v="1"/>
  </r>
  <r>
    <n v="43"/>
    <s v="Lincoln County"/>
    <x v="18"/>
    <n v="339"/>
    <n v="130"/>
    <n v="209"/>
    <n v="126"/>
    <n v="200"/>
    <n v="13"/>
    <s v="Eastern"/>
    <x v="1"/>
  </r>
  <r>
    <n v="45"/>
    <s v="Mason County"/>
    <x v="0"/>
    <n v="58016"/>
    <n v="29856"/>
    <n v="28160"/>
    <n v="26735"/>
    <n v="25462"/>
    <n v="5819"/>
    <s v="PacMtn"/>
    <x v="5"/>
  </r>
  <r>
    <n v="45"/>
    <s v="Mason County"/>
    <x v="1"/>
    <n v="3411"/>
    <n v="1741"/>
    <n v="1670"/>
    <n v="1435"/>
    <n v="1378"/>
    <n v="598"/>
    <s v="PacMtn"/>
    <x v="5"/>
  </r>
  <r>
    <n v="45"/>
    <s v="Mason County"/>
    <x v="2"/>
    <n v="3324"/>
    <n v="1721"/>
    <n v="1603"/>
    <n v="1464"/>
    <n v="1322"/>
    <n v="538"/>
    <s v="PacMtn"/>
    <x v="5"/>
  </r>
  <r>
    <n v="45"/>
    <s v="Mason County"/>
    <x v="3"/>
    <n v="3320"/>
    <n v="1718"/>
    <n v="1602"/>
    <n v="1475"/>
    <n v="1407"/>
    <n v="438"/>
    <s v="PacMtn"/>
    <x v="5"/>
  </r>
  <r>
    <n v="45"/>
    <s v="Mason County"/>
    <x v="4"/>
    <n v="3590"/>
    <n v="1942"/>
    <n v="1648"/>
    <n v="1643"/>
    <n v="1409"/>
    <n v="538"/>
    <s v="PacMtn"/>
    <x v="5"/>
  </r>
  <r>
    <n v="45"/>
    <s v="Mason County"/>
    <x v="5"/>
    <n v="3184"/>
    <n v="1858"/>
    <n v="1326"/>
    <n v="1541"/>
    <n v="1116"/>
    <n v="527"/>
    <s v="PacMtn"/>
    <x v="5"/>
  </r>
  <r>
    <n v="45"/>
    <s v="Mason County"/>
    <x v="6"/>
    <n v="3759"/>
    <n v="2060"/>
    <n v="1699"/>
    <n v="1752"/>
    <n v="1511"/>
    <n v="496"/>
    <s v="PacMtn"/>
    <x v="5"/>
  </r>
  <r>
    <n v="45"/>
    <s v="Mason County"/>
    <x v="7"/>
    <n v="3058"/>
    <n v="1720"/>
    <n v="1338"/>
    <n v="1530"/>
    <n v="1191"/>
    <n v="337"/>
    <s v="PacMtn"/>
    <x v="5"/>
  </r>
  <r>
    <n v="45"/>
    <s v="Mason County"/>
    <x v="8"/>
    <n v="3362"/>
    <n v="1828"/>
    <n v="1534"/>
    <n v="1605"/>
    <n v="1377"/>
    <n v="380"/>
    <s v="PacMtn"/>
    <x v="5"/>
  </r>
  <r>
    <n v="45"/>
    <s v="Mason County"/>
    <x v="9"/>
    <n v="3335"/>
    <n v="1790"/>
    <n v="1545"/>
    <n v="1587"/>
    <n v="1395"/>
    <n v="353"/>
    <s v="PacMtn"/>
    <x v="5"/>
  </r>
  <r>
    <n v="45"/>
    <s v="Mason County"/>
    <x v="10"/>
    <n v="4246"/>
    <n v="2129"/>
    <n v="2117"/>
    <n v="1943"/>
    <n v="1939"/>
    <n v="364"/>
    <s v="PacMtn"/>
    <x v="5"/>
  </r>
  <r>
    <n v="45"/>
    <s v="Mason County"/>
    <x v="11"/>
    <n v="4560"/>
    <n v="2296"/>
    <n v="2264"/>
    <n v="2126"/>
    <n v="2086"/>
    <n v="348"/>
    <s v="PacMtn"/>
    <x v="5"/>
  </r>
  <r>
    <n v="45"/>
    <s v="Mason County"/>
    <x v="12"/>
    <n v="4542"/>
    <n v="2241"/>
    <n v="2301"/>
    <n v="2127"/>
    <n v="2139"/>
    <n v="276"/>
    <s v="PacMtn"/>
    <x v="5"/>
  </r>
  <r>
    <n v="45"/>
    <s v="Mason County"/>
    <x v="13"/>
    <n v="4309"/>
    <n v="2106"/>
    <n v="2203"/>
    <n v="2019"/>
    <n v="2093"/>
    <n v="197"/>
    <s v="PacMtn"/>
    <x v="5"/>
  </r>
  <r>
    <n v="45"/>
    <s v="Mason County"/>
    <x v="14"/>
    <n v="3430"/>
    <n v="1606"/>
    <n v="1824"/>
    <n v="1527"/>
    <n v="1743"/>
    <n v="160"/>
    <s v="PacMtn"/>
    <x v="5"/>
  </r>
  <r>
    <n v="45"/>
    <s v="Mason County"/>
    <x v="15"/>
    <n v="2493"/>
    <n v="1210"/>
    <n v="1283"/>
    <n v="1156"/>
    <n v="1226"/>
    <n v="111"/>
    <s v="PacMtn"/>
    <x v="5"/>
  </r>
  <r>
    <n v="45"/>
    <s v="Mason County"/>
    <x v="16"/>
    <n v="1851"/>
    <n v="901"/>
    <n v="950"/>
    <n v="864"/>
    <n v="916"/>
    <n v="71"/>
    <s v="PacMtn"/>
    <x v="5"/>
  </r>
  <r>
    <n v="45"/>
    <s v="Mason County"/>
    <x v="17"/>
    <n v="1249"/>
    <n v="580"/>
    <n v="669"/>
    <n v="554"/>
    <n v="646"/>
    <n v="49"/>
    <s v="PacMtn"/>
    <x v="5"/>
  </r>
  <r>
    <n v="45"/>
    <s v="Mason County"/>
    <x v="18"/>
    <n v="993"/>
    <n v="409"/>
    <n v="584"/>
    <n v="387"/>
    <n v="568"/>
    <n v="38"/>
    <s v="PacMtn"/>
    <x v="5"/>
  </r>
  <r>
    <n v="47"/>
    <s v="Okanogan County"/>
    <x v="0"/>
    <n v="40552"/>
    <n v="20228"/>
    <n v="20324"/>
    <n v="17146"/>
    <n v="17232"/>
    <n v="6174"/>
    <s v="North Central"/>
    <x v="0"/>
  </r>
  <r>
    <n v="47"/>
    <s v="Okanogan County"/>
    <x v="1"/>
    <n v="2966"/>
    <n v="1533"/>
    <n v="1433"/>
    <n v="1141"/>
    <n v="1056"/>
    <n v="769"/>
    <s v="North Central"/>
    <x v="0"/>
  </r>
  <r>
    <n v="47"/>
    <s v="Okanogan County"/>
    <x v="2"/>
    <n v="2624"/>
    <n v="1329"/>
    <n v="1295"/>
    <n v="1047"/>
    <n v="996"/>
    <n v="581"/>
    <s v="North Central"/>
    <x v="0"/>
  </r>
  <r>
    <n v="47"/>
    <s v="Okanogan County"/>
    <x v="3"/>
    <n v="2478"/>
    <n v="1278"/>
    <n v="1200"/>
    <n v="1027"/>
    <n v="963"/>
    <n v="488"/>
    <s v="North Central"/>
    <x v="0"/>
  </r>
  <r>
    <n v="47"/>
    <s v="Okanogan County"/>
    <x v="4"/>
    <n v="2893"/>
    <n v="1448"/>
    <n v="1445"/>
    <n v="1148"/>
    <n v="1132"/>
    <n v="613"/>
    <s v="North Central"/>
    <x v="0"/>
  </r>
  <r>
    <n v="47"/>
    <s v="Okanogan County"/>
    <x v="5"/>
    <n v="2324"/>
    <n v="1206"/>
    <n v="1118"/>
    <n v="970"/>
    <n v="894"/>
    <n v="460"/>
    <s v="North Central"/>
    <x v="0"/>
  </r>
  <r>
    <n v="47"/>
    <s v="Okanogan County"/>
    <x v="6"/>
    <n v="2096"/>
    <n v="1147"/>
    <n v="949"/>
    <n v="914"/>
    <n v="760"/>
    <n v="422"/>
    <s v="North Central"/>
    <x v="0"/>
  </r>
  <r>
    <n v="47"/>
    <s v="Okanogan County"/>
    <x v="7"/>
    <n v="1750"/>
    <n v="912"/>
    <n v="838"/>
    <n v="710"/>
    <n v="708"/>
    <n v="332"/>
    <s v="North Central"/>
    <x v="0"/>
  </r>
  <r>
    <n v="47"/>
    <s v="Okanogan County"/>
    <x v="8"/>
    <n v="2175"/>
    <n v="1130"/>
    <n v="1045"/>
    <n v="939"/>
    <n v="884"/>
    <n v="352"/>
    <s v="North Central"/>
    <x v="0"/>
  </r>
  <r>
    <n v="47"/>
    <s v="Okanogan County"/>
    <x v="9"/>
    <n v="2173"/>
    <n v="1025"/>
    <n v="1148"/>
    <n v="899"/>
    <n v="973"/>
    <n v="301"/>
    <s v="North Central"/>
    <x v="0"/>
  </r>
  <r>
    <n v="47"/>
    <s v="Okanogan County"/>
    <x v="10"/>
    <n v="2771"/>
    <n v="1322"/>
    <n v="1449"/>
    <n v="1176"/>
    <n v="1259"/>
    <n v="336"/>
    <s v="North Central"/>
    <x v="0"/>
  </r>
  <r>
    <n v="47"/>
    <s v="Okanogan County"/>
    <x v="11"/>
    <n v="3189"/>
    <n v="1539"/>
    <n v="1650"/>
    <n v="1366"/>
    <n v="1444"/>
    <n v="379"/>
    <s v="North Central"/>
    <x v="0"/>
  </r>
  <r>
    <n v="47"/>
    <s v="Okanogan County"/>
    <x v="12"/>
    <n v="3284"/>
    <n v="1647"/>
    <n v="1637"/>
    <n v="1478"/>
    <n v="1472"/>
    <n v="334"/>
    <s v="North Central"/>
    <x v="0"/>
  </r>
  <r>
    <n v="47"/>
    <s v="Okanogan County"/>
    <x v="13"/>
    <n v="2948"/>
    <n v="1444"/>
    <n v="1504"/>
    <n v="1307"/>
    <n v="1368"/>
    <n v="273"/>
    <s v="North Central"/>
    <x v="0"/>
  </r>
  <r>
    <n v="47"/>
    <s v="Okanogan County"/>
    <x v="14"/>
    <n v="2287"/>
    <n v="1175"/>
    <n v="1112"/>
    <n v="1075"/>
    <n v="1003"/>
    <n v="209"/>
    <s v="North Central"/>
    <x v="0"/>
  </r>
  <r>
    <n v="47"/>
    <s v="Okanogan County"/>
    <x v="15"/>
    <n v="1714"/>
    <n v="852"/>
    <n v="862"/>
    <n v="784"/>
    <n v="799"/>
    <n v="131"/>
    <s v="North Central"/>
    <x v="0"/>
  </r>
  <r>
    <n v="47"/>
    <s v="Okanogan County"/>
    <x v="16"/>
    <n v="1217"/>
    <n v="561"/>
    <n v="656"/>
    <n v="520"/>
    <n v="614"/>
    <n v="83"/>
    <s v="North Central"/>
    <x v="0"/>
  </r>
  <r>
    <n v="47"/>
    <s v="Okanogan County"/>
    <x v="17"/>
    <n v="869"/>
    <n v="382"/>
    <n v="487"/>
    <n v="359"/>
    <n v="440"/>
    <n v="70"/>
    <s v="North Central"/>
    <x v="0"/>
  </r>
  <r>
    <n v="47"/>
    <s v="Okanogan County"/>
    <x v="18"/>
    <n v="794"/>
    <n v="298"/>
    <n v="496"/>
    <n v="286"/>
    <n v="467"/>
    <n v="41"/>
    <s v="North Central"/>
    <x v="0"/>
  </r>
  <r>
    <n v="49"/>
    <s v="Pacific County"/>
    <x v="0"/>
    <n v="21272"/>
    <n v="10528"/>
    <n v="10744"/>
    <n v="9664"/>
    <n v="9898"/>
    <n v="1710"/>
    <s v="PacMtn"/>
    <x v="5"/>
  </r>
  <r>
    <n v="49"/>
    <s v="Pacific County"/>
    <x v="1"/>
    <n v="1087"/>
    <n v="544"/>
    <n v="543"/>
    <n v="484"/>
    <n v="473"/>
    <n v="130"/>
    <s v="PacMtn"/>
    <x v="5"/>
  </r>
  <r>
    <n v="49"/>
    <s v="Pacific County"/>
    <x v="2"/>
    <n v="935"/>
    <n v="480"/>
    <n v="455"/>
    <n v="418"/>
    <n v="399"/>
    <n v="118"/>
    <s v="PacMtn"/>
    <x v="5"/>
  </r>
  <r>
    <n v="49"/>
    <s v="Pacific County"/>
    <x v="3"/>
    <n v="1046"/>
    <n v="555"/>
    <n v="491"/>
    <n v="496"/>
    <n v="422"/>
    <n v="128"/>
    <s v="PacMtn"/>
    <x v="5"/>
  </r>
  <r>
    <n v="49"/>
    <s v="Pacific County"/>
    <x v="4"/>
    <n v="1244"/>
    <n v="688"/>
    <n v="556"/>
    <n v="585"/>
    <n v="477"/>
    <n v="182"/>
    <s v="PacMtn"/>
    <x v="5"/>
  </r>
  <r>
    <n v="49"/>
    <s v="Pacific County"/>
    <x v="5"/>
    <n v="1066"/>
    <n v="568"/>
    <n v="498"/>
    <n v="489"/>
    <n v="451"/>
    <n v="126"/>
    <s v="PacMtn"/>
    <x v="5"/>
  </r>
  <r>
    <n v="49"/>
    <s v="Pacific County"/>
    <x v="6"/>
    <n v="904"/>
    <n v="502"/>
    <n v="402"/>
    <n v="446"/>
    <n v="352"/>
    <n v="106"/>
    <s v="PacMtn"/>
    <x v="5"/>
  </r>
  <r>
    <n v="49"/>
    <s v="Pacific County"/>
    <x v="7"/>
    <n v="818"/>
    <n v="452"/>
    <n v="366"/>
    <n v="408"/>
    <n v="331"/>
    <n v="79"/>
    <s v="PacMtn"/>
    <x v="5"/>
  </r>
  <r>
    <n v="49"/>
    <s v="Pacific County"/>
    <x v="8"/>
    <n v="868"/>
    <n v="445"/>
    <n v="423"/>
    <n v="411"/>
    <n v="391"/>
    <n v="66"/>
    <s v="PacMtn"/>
    <x v="5"/>
  </r>
  <r>
    <n v="49"/>
    <s v="Pacific County"/>
    <x v="9"/>
    <n v="1095"/>
    <n v="538"/>
    <n v="557"/>
    <n v="499"/>
    <n v="518"/>
    <n v="78"/>
    <s v="PacMtn"/>
    <x v="5"/>
  </r>
  <r>
    <n v="49"/>
    <s v="Pacific County"/>
    <x v="10"/>
    <n v="1407"/>
    <n v="691"/>
    <n v="716"/>
    <n v="630"/>
    <n v="656"/>
    <n v="121"/>
    <s v="PacMtn"/>
    <x v="5"/>
  </r>
  <r>
    <n v="49"/>
    <s v="Pacific County"/>
    <x v="11"/>
    <n v="1672"/>
    <n v="765"/>
    <n v="907"/>
    <n v="712"/>
    <n v="837"/>
    <n v="123"/>
    <s v="PacMtn"/>
    <x v="5"/>
  </r>
  <r>
    <n v="49"/>
    <s v="Pacific County"/>
    <x v="12"/>
    <n v="1889"/>
    <n v="924"/>
    <n v="965"/>
    <n v="874"/>
    <n v="910"/>
    <n v="105"/>
    <s v="PacMtn"/>
    <x v="5"/>
  </r>
  <r>
    <n v="49"/>
    <s v="Pacific County"/>
    <x v="13"/>
    <n v="1986"/>
    <n v="962"/>
    <n v="1024"/>
    <n v="917"/>
    <n v="979"/>
    <n v="90"/>
    <s v="PacMtn"/>
    <x v="5"/>
  </r>
  <r>
    <n v="49"/>
    <s v="Pacific County"/>
    <x v="14"/>
    <n v="1778"/>
    <n v="822"/>
    <n v="956"/>
    <n v="787"/>
    <n v="909"/>
    <n v="82"/>
    <s v="PacMtn"/>
    <x v="5"/>
  </r>
  <r>
    <n v="49"/>
    <s v="Pacific County"/>
    <x v="15"/>
    <n v="1308"/>
    <n v="618"/>
    <n v="690"/>
    <n v="591"/>
    <n v="661"/>
    <n v="56"/>
    <s v="PacMtn"/>
    <x v="5"/>
  </r>
  <r>
    <n v="49"/>
    <s v="Pacific County"/>
    <x v="16"/>
    <n v="891"/>
    <n v="403"/>
    <n v="488"/>
    <n v="384"/>
    <n v="466"/>
    <n v="41"/>
    <s v="PacMtn"/>
    <x v="5"/>
  </r>
  <r>
    <n v="49"/>
    <s v="Pacific County"/>
    <x v="17"/>
    <n v="732"/>
    <n v="341"/>
    <n v="391"/>
    <n v="319"/>
    <n v="364"/>
    <n v="49"/>
    <s v="PacMtn"/>
    <x v="5"/>
  </r>
  <r>
    <n v="49"/>
    <s v="Pacific County"/>
    <x v="18"/>
    <n v="546"/>
    <n v="230"/>
    <n v="316"/>
    <n v="214"/>
    <n v="302"/>
    <n v="30"/>
    <s v="PacMtn"/>
    <x v="5"/>
  </r>
  <r>
    <n v="51"/>
    <s v="Pend Oreille County"/>
    <x v="0"/>
    <n v="12946"/>
    <n v="6465"/>
    <n v="6481"/>
    <n v="6026"/>
    <n v="6046"/>
    <n v="874"/>
    <s v="Eastern"/>
    <x v="1"/>
  </r>
  <r>
    <n v="51"/>
    <s v="Pend Oreille County"/>
    <x v="1"/>
    <n v="704"/>
    <n v="358"/>
    <n v="346"/>
    <n v="302"/>
    <n v="305"/>
    <n v="97"/>
    <s v="Eastern"/>
    <x v="1"/>
  </r>
  <r>
    <n v="51"/>
    <s v="Pend Oreille County"/>
    <x v="2"/>
    <n v="767"/>
    <n v="417"/>
    <n v="350"/>
    <n v="371"/>
    <n v="311"/>
    <n v="85"/>
    <s v="Eastern"/>
    <x v="1"/>
  </r>
  <r>
    <n v="51"/>
    <s v="Pend Oreille County"/>
    <x v="3"/>
    <n v="927"/>
    <n v="482"/>
    <n v="445"/>
    <n v="432"/>
    <n v="387"/>
    <n v="108"/>
    <s v="Eastern"/>
    <x v="1"/>
  </r>
  <r>
    <n v="51"/>
    <s v="Pend Oreille County"/>
    <x v="4"/>
    <n v="861"/>
    <n v="452"/>
    <n v="409"/>
    <n v="408"/>
    <n v="368"/>
    <n v="85"/>
    <s v="Eastern"/>
    <x v="1"/>
  </r>
  <r>
    <n v="51"/>
    <s v="Pend Oreille County"/>
    <x v="5"/>
    <n v="622"/>
    <n v="308"/>
    <n v="314"/>
    <n v="267"/>
    <n v="271"/>
    <n v="84"/>
    <s v="Eastern"/>
    <x v="1"/>
  </r>
  <r>
    <n v="51"/>
    <s v="Pend Oreille County"/>
    <x v="6"/>
    <n v="393"/>
    <n v="219"/>
    <n v="174"/>
    <n v="188"/>
    <n v="144"/>
    <n v="61"/>
    <s v="Eastern"/>
    <x v="1"/>
  </r>
  <r>
    <n v="51"/>
    <s v="Pend Oreille County"/>
    <x v="7"/>
    <n v="392"/>
    <n v="210"/>
    <n v="182"/>
    <n v="197"/>
    <n v="168"/>
    <n v="27"/>
    <s v="Eastern"/>
    <x v="1"/>
  </r>
  <r>
    <n v="51"/>
    <s v="Pend Oreille County"/>
    <x v="8"/>
    <n v="677"/>
    <n v="326"/>
    <n v="351"/>
    <n v="307"/>
    <n v="317"/>
    <n v="53"/>
    <s v="Eastern"/>
    <x v="1"/>
  </r>
  <r>
    <n v="51"/>
    <s v="Pend Oreille County"/>
    <x v="9"/>
    <n v="765"/>
    <n v="359"/>
    <n v="406"/>
    <n v="337"/>
    <n v="388"/>
    <n v="40"/>
    <s v="Eastern"/>
    <x v="1"/>
  </r>
  <r>
    <n v="51"/>
    <s v="Pend Oreille County"/>
    <x v="10"/>
    <n v="1051"/>
    <n v="502"/>
    <n v="549"/>
    <n v="470"/>
    <n v="529"/>
    <n v="52"/>
    <s v="Eastern"/>
    <x v="1"/>
  </r>
  <r>
    <n v="51"/>
    <s v="Pend Oreille County"/>
    <x v="11"/>
    <n v="1133"/>
    <n v="533"/>
    <n v="600"/>
    <n v="515"/>
    <n v="573"/>
    <n v="45"/>
    <s v="Eastern"/>
    <x v="1"/>
  </r>
  <r>
    <n v="51"/>
    <s v="Pend Oreille County"/>
    <x v="12"/>
    <n v="1184"/>
    <n v="614"/>
    <n v="570"/>
    <n v="596"/>
    <n v="553"/>
    <n v="35"/>
    <s v="Eastern"/>
    <x v="1"/>
  </r>
  <r>
    <n v="51"/>
    <s v="Pend Oreille County"/>
    <x v="13"/>
    <n v="1194"/>
    <n v="594"/>
    <n v="600"/>
    <n v="573"/>
    <n v="582"/>
    <n v="39"/>
    <s v="Eastern"/>
    <x v="1"/>
  </r>
  <r>
    <n v="51"/>
    <s v="Pend Oreille County"/>
    <x v="14"/>
    <n v="860"/>
    <n v="415"/>
    <n v="445"/>
    <n v="405"/>
    <n v="433"/>
    <n v="22"/>
    <s v="Eastern"/>
    <x v="1"/>
  </r>
  <r>
    <n v="51"/>
    <s v="Pend Oreille County"/>
    <x v="15"/>
    <n v="560"/>
    <n v="288"/>
    <n v="272"/>
    <n v="284"/>
    <n v="265"/>
    <n v="11"/>
    <s v="Eastern"/>
    <x v="1"/>
  </r>
  <r>
    <n v="51"/>
    <s v="Pend Oreille County"/>
    <x v="16"/>
    <n v="378"/>
    <n v="170"/>
    <n v="208"/>
    <n v="165"/>
    <n v="202"/>
    <n v="11"/>
    <s v="Eastern"/>
    <x v="1"/>
  </r>
  <r>
    <n v="51"/>
    <s v="Pend Oreille County"/>
    <x v="17"/>
    <n v="286"/>
    <n v="139"/>
    <n v="147"/>
    <n v="132"/>
    <n v="140"/>
    <n v="14"/>
    <s v="Eastern"/>
    <x v="1"/>
  </r>
  <r>
    <n v="51"/>
    <s v="Pend Oreille County"/>
    <x v="18"/>
    <n v="192"/>
    <n v="79"/>
    <n v="113"/>
    <n v="77"/>
    <n v="110"/>
    <n v="5"/>
    <s v="Eastern"/>
    <x v="1"/>
  </r>
  <r>
    <n v="53"/>
    <s v="Pierce County"/>
    <x v="0"/>
    <n v="796836"/>
    <n v="397043"/>
    <n v="399793"/>
    <n v="315535"/>
    <n v="316414"/>
    <n v="164887"/>
    <s v="Pierce"/>
    <x v="9"/>
  </r>
  <r>
    <n v="53"/>
    <s v="Pierce County"/>
    <x v="1"/>
    <n v="57009"/>
    <n v="29217"/>
    <n v="27792"/>
    <n v="20695"/>
    <n v="19712"/>
    <n v="16602"/>
    <s v="Pierce"/>
    <x v="9"/>
  </r>
  <r>
    <n v="53"/>
    <s v="Pierce County"/>
    <x v="2"/>
    <n v="53249"/>
    <n v="27293"/>
    <n v="25956"/>
    <n v="19860"/>
    <n v="18839"/>
    <n v="14550"/>
    <s v="Pierce"/>
    <x v="9"/>
  </r>
  <r>
    <n v="53"/>
    <s v="Pierce County"/>
    <x v="3"/>
    <n v="52941"/>
    <n v="26959"/>
    <n v="25982"/>
    <n v="19987"/>
    <n v="19187"/>
    <n v="13767"/>
    <s v="Pierce"/>
    <x v="9"/>
  </r>
  <r>
    <n v="53"/>
    <s v="Pierce County"/>
    <x v="4"/>
    <n v="55677"/>
    <n v="29112"/>
    <n v="26565"/>
    <n v="21825"/>
    <n v="19944"/>
    <n v="13908"/>
    <s v="Pierce"/>
    <x v="9"/>
  </r>
  <r>
    <n v="53"/>
    <s v="Pierce County"/>
    <x v="5"/>
    <n v="63027"/>
    <n v="33948"/>
    <n v="29079"/>
    <n v="25987"/>
    <n v="22164"/>
    <n v="14876"/>
    <s v="Pierce"/>
    <x v="9"/>
  </r>
  <r>
    <n v="53"/>
    <s v="Pierce County"/>
    <x v="6"/>
    <n v="63872"/>
    <n v="32416"/>
    <n v="31456"/>
    <n v="25134"/>
    <n v="24694"/>
    <n v="14044"/>
    <s v="Pierce"/>
    <x v="9"/>
  </r>
  <r>
    <n v="53"/>
    <s v="Pierce County"/>
    <x v="7"/>
    <n v="51287"/>
    <n v="25349"/>
    <n v="25938"/>
    <n v="20081"/>
    <n v="20584"/>
    <n v="10622"/>
    <s v="Pierce"/>
    <x v="9"/>
  </r>
  <r>
    <n v="53"/>
    <s v="Pierce County"/>
    <x v="8"/>
    <n v="53037"/>
    <n v="26617"/>
    <n v="26420"/>
    <n v="21145"/>
    <n v="20925"/>
    <n v="10967"/>
    <s v="Pierce"/>
    <x v="9"/>
  </r>
  <r>
    <n v="53"/>
    <s v="Pierce County"/>
    <x v="9"/>
    <n v="55210"/>
    <n v="27454"/>
    <n v="27756"/>
    <n v="22351"/>
    <n v="22386"/>
    <n v="10473"/>
    <s v="Pierce"/>
    <x v="9"/>
  </r>
  <r>
    <n v="53"/>
    <s v="Pierce County"/>
    <x v="10"/>
    <n v="60480"/>
    <n v="30091"/>
    <n v="30389"/>
    <n v="24911"/>
    <n v="24688"/>
    <n v="10881"/>
    <s v="Pierce"/>
    <x v="9"/>
  </r>
  <r>
    <n v="53"/>
    <s v="Pierce County"/>
    <x v="11"/>
    <n v="57709"/>
    <n v="28640"/>
    <n v="29069"/>
    <n v="23789"/>
    <n v="23756"/>
    <n v="10164"/>
    <s v="Pierce"/>
    <x v="9"/>
  </r>
  <r>
    <n v="53"/>
    <s v="Pierce County"/>
    <x v="12"/>
    <n v="48358"/>
    <n v="23625"/>
    <n v="24733"/>
    <n v="20125"/>
    <n v="20623"/>
    <n v="7610"/>
    <s v="Pierce"/>
    <x v="9"/>
  </r>
  <r>
    <n v="53"/>
    <s v="Pierce County"/>
    <x v="13"/>
    <n v="38806"/>
    <n v="18836"/>
    <n v="19970"/>
    <n v="16437"/>
    <n v="16945"/>
    <n v="5424"/>
    <s v="Pierce"/>
    <x v="9"/>
  </r>
  <r>
    <n v="53"/>
    <s v="Pierce County"/>
    <x v="14"/>
    <n v="27434"/>
    <n v="13222"/>
    <n v="14212"/>
    <n v="11609"/>
    <n v="12044"/>
    <n v="3781"/>
    <s v="Pierce"/>
    <x v="9"/>
  </r>
  <r>
    <n v="53"/>
    <s v="Pierce County"/>
    <x v="15"/>
    <n v="19907"/>
    <n v="9082"/>
    <n v="10825"/>
    <n v="7975"/>
    <n v="9135"/>
    <n v="2797"/>
    <s v="Pierce"/>
    <x v="9"/>
  </r>
  <r>
    <n v="53"/>
    <s v="Pierce County"/>
    <x v="16"/>
    <n v="15920"/>
    <n v="7000"/>
    <n v="8920"/>
    <n v="6194"/>
    <n v="7536"/>
    <n v="2190"/>
    <s v="Pierce"/>
    <x v="9"/>
  </r>
  <r>
    <n v="53"/>
    <s v="Pierce County"/>
    <x v="17"/>
    <n v="11939"/>
    <n v="4692"/>
    <n v="7247"/>
    <n v="4200"/>
    <n v="6356"/>
    <n v="1383"/>
    <s v="Pierce"/>
    <x v="9"/>
  </r>
  <r>
    <n v="53"/>
    <s v="Pierce County"/>
    <x v="18"/>
    <n v="10974"/>
    <n v="3490"/>
    <n v="7484"/>
    <n v="3230"/>
    <n v="6896"/>
    <n v="848"/>
    <s v="Pierce"/>
    <x v="9"/>
  </r>
  <r>
    <n v="55"/>
    <s v="San Juan County"/>
    <x v="0"/>
    <n v="15484"/>
    <n v="7629"/>
    <n v="7855"/>
    <n v="7321"/>
    <n v="7516"/>
    <n v="647"/>
    <s v="Northwest"/>
    <x v="6"/>
  </r>
  <r>
    <n v="55"/>
    <s v="San Juan County"/>
    <x v="1"/>
    <n v="598"/>
    <n v="299"/>
    <n v="299"/>
    <n v="268"/>
    <n v="265"/>
    <n v="65"/>
    <s v="Northwest"/>
    <x v="6"/>
  </r>
  <r>
    <n v="55"/>
    <s v="San Juan County"/>
    <x v="2"/>
    <n v="599"/>
    <n v="305"/>
    <n v="294"/>
    <n v="291"/>
    <n v="266"/>
    <n v="42"/>
    <s v="Northwest"/>
    <x v="6"/>
  </r>
  <r>
    <n v="55"/>
    <s v="San Juan County"/>
    <x v="3"/>
    <n v="751"/>
    <n v="391"/>
    <n v="360"/>
    <n v="360"/>
    <n v="337"/>
    <n v="54"/>
    <s v="Northwest"/>
    <x v="6"/>
  </r>
  <r>
    <n v="55"/>
    <s v="San Juan County"/>
    <x v="4"/>
    <n v="790"/>
    <n v="404"/>
    <n v="386"/>
    <n v="372"/>
    <n v="356"/>
    <n v="62"/>
    <s v="Northwest"/>
    <x v="6"/>
  </r>
  <r>
    <n v="55"/>
    <s v="San Juan County"/>
    <x v="5"/>
    <n v="678"/>
    <n v="358"/>
    <n v="320"/>
    <n v="326"/>
    <n v="294"/>
    <n v="58"/>
    <s v="Northwest"/>
    <x v="6"/>
  </r>
  <r>
    <n v="55"/>
    <s v="San Juan County"/>
    <x v="6"/>
    <n v="542"/>
    <n v="310"/>
    <n v="232"/>
    <n v="287"/>
    <n v="208"/>
    <n v="47"/>
    <s v="Northwest"/>
    <x v="6"/>
  </r>
  <r>
    <n v="55"/>
    <s v="San Juan County"/>
    <x v="7"/>
    <n v="480"/>
    <n v="247"/>
    <n v="233"/>
    <n v="232"/>
    <n v="213"/>
    <n v="35"/>
    <s v="Northwest"/>
    <x v="6"/>
  </r>
  <r>
    <n v="55"/>
    <s v="San Juan County"/>
    <x v="8"/>
    <n v="665"/>
    <n v="346"/>
    <n v="319"/>
    <n v="331"/>
    <n v="302"/>
    <n v="32"/>
    <s v="Northwest"/>
    <x v="6"/>
  </r>
  <r>
    <n v="55"/>
    <s v="San Juan County"/>
    <x v="9"/>
    <n v="705"/>
    <n v="345"/>
    <n v="360"/>
    <n v="328"/>
    <n v="346"/>
    <n v="31"/>
    <s v="Northwest"/>
    <x v="6"/>
  </r>
  <r>
    <n v="55"/>
    <s v="San Juan County"/>
    <x v="10"/>
    <n v="1131"/>
    <n v="540"/>
    <n v="591"/>
    <n v="523"/>
    <n v="573"/>
    <n v="35"/>
    <s v="Northwest"/>
    <x v="6"/>
  </r>
  <r>
    <n v="55"/>
    <s v="San Juan County"/>
    <x v="11"/>
    <n v="1465"/>
    <n v="687"/>
    <n v="778"/>
    <n v="674"/>
    <n v="755"/>
    <n v="36"/>
    <s v="Northwest"/>
    <x v="6"/>
  </r>
  <r>
    <n v="55"/>
    <s v="San Juan County"/>
    <x v="12"/>
    <n v="1737"/>
    <n v="832"/>
    <n v="905"/>
    <n v="814"/>
    <n v="874"/>
    <n v="49"/>
    <s v="Northwest"/>
    <x v="6"/>
  </r>
  <r>
    <n v="55"/>
    <s v="San Juan County"/>
    <x v="13"/>
    <n v="1752"/>
    <n v="818"/>
    <n v="934"/>
    <n v="804"/>
    <n v="920"/>
    <n v="28"/>
    <s v="Northwest"/>
    <x v="6"/>
  </r>
  <r>
    <n v="55"/>
    <s v="San Juan County"/>
    <x v="14"/>
    <n v="1282"/>
    <n v="632"/>
    <n v="650"/>
    <n v="620"/>
    <n v="641"/>
    <n v="21"/>
    <s v="Northwest"/>
    <x v="6"/>
  </r>
  <r>
    <n v="55"/>
    <s v="San Juan County"/>
    <x v="15"/>
    <n v="843"/>
    <n v="414"/>
    <n v="429"/>
    <n v="405"/>
    <n v="425"/>
    <n v="13"/>
    <s v="Northwest"/>
    <x v="6"/>
  </r>
  <r>
    <n v="55"/>
    <s v="San Juan County"/>
    <x v="16"/>
    <n v="570"/>
    <n v="315"/>
    <n v="255"/>
    <n v="307"/>
    <n v="244"/>
    <n v="19"/>
    <s v="Northwest"/>
    <x v="6"/>
  </r>
  <r>
    <n v="55"/>
    <s v="San Juan County"/>
    <x v="17"/>
    <n v="415"/>
    <n v="194"/>
    <n v="221"/>
    <n v="192"/>
    <n v="217"/>
    <n v="6"/>
    <s v="Northwest"/>
    <x v="6"/>
  </r>
  <r>
    <n v="55"/>
    <s v="San Juan County"/>
    <x v="18"/>
    <n v="481"/>
    <n v="192"/>
    <n v="289"/>
    <n v="187"/>
    <n v="280"/>
    <n v="14"/>
    <s v="Northwest"/>
    <x v="6"/>
  </r>
  <r>
    <n v="57"/>
    <s v="Skagit County"/>
    <x v="0"/>
    <n v="119534"/>
    <n v="59265"/>
    <n v="60269"/>
    <n v="55124"/>
    <n v="55850"/>
    <n v="8560"/>
    <s v="Northwest"/>
    <x v="6"/>
  </r>
  <r>
    <n v="57"/>
    <s v="Skagit County"/>
    <x v="1"/>
    <n v="8112"/>
    <n v="4186"/>
    <n v="3926"/>
    <n v="3652"/>
    <n v="3398"/>
    <n v="1062"/>
    <s v="Northwest"/>
    <x v="6"/>
  </r>
  <r>
    <n v="57"/>
    <s v="Skagit County"/>
    <x v="2"/>
    <n v="7507"/>
    <n v="3837"/>
    <n v="3670"/>
    <n v="3403"/>
    <n v="3271"/>
    <n v="833"/>
    <s v="Northwest"/>
    <x v="6"/>
  </r>
  <r>
    <n v="57"/>
    <s v="Skagit County"/>
    <x v="3"/>
    <n v="7704"/>
    <n v="3897"/>
    <n v="3807"/>
    <n v="3558"/>
    <n v="3451"/>
    <n v="695"/>
    <s v="Northwest"/>
    <x v="6"/>
  </r>
  <r>
    <n v="57"/>
    <s v="Skagit County"/>
    <x v="4"/>
    <n v="8210"/>
    <n v="4255"/>
    <n v="3955"/>
    <n v="3835"/>
    <n v="3569"/>
    <n v="806"/>
    <s v="Northwest"/>
    <x v="6"/>
  </r>
  <r>
    <n v="57"/>
    <s v="Skagit County"/>
    <x v="5"/>
    <n v="7300"/>
    <n v="3741"/>
    <n v="3559"/>
    <n v="3409"/>
    <n v="3204"/>
    <n v="687"/>
    <s v="Northwest"/>
    <x v="6"/>
  </r>
  <r>
    <n v="57"/>
    <s v="Skagit County"/>
    <x v="6"/>
    <n v="8412"/>
    <n v="4349"/>
    <n v="4063"/>
    <n v="4010"/>
    <n v="3693"/>
    <n v="709"/>
    <s v="Northwest"/>
    <x v="6"/>
  </r>
  <r>
    <n v="57"/>
    <s v="Skagit County"/>
    <x v="7"/>
    <n v="6636"/>
    <n v="3376"/>
    <n v="3260"/>
    <n v="3069"/>
    <n v="2960"/>
    <n v="607"/>
    <s v="Northwest"/>
    <x v="6"/>
  </r>
  <r>
    <n v="57"/>
    <s v="Skagit County"/>
    <x v="8"/>
    <n v="7058"/>
    <n v="3549"/>
    <n v="3509"/>
    <n v="3280"/>
    <n v="3233"/>
    <n v="545"/>
    <s v="Northwest"/>
    <x v="6"/>
  </r>
  <r>
    <n v="57"/>
    <s v="Skagit County"/>
    <x v="9"/>
    <n v="7241"/>
    <n v="3595"/>
    <n v="3646"/>
    <n v="3341"/>
    <n v="3404"/>
    <n v="496"/>
    <s v="Northwest"/>
    <x v="6"/>
  </r>
  <r>
    <n v="57"/>
    <s v="Skagit County"/>
    <x v="10"/>
    <n v="8444"/>
    <n v="4204"/>
    <n v="4240"/>
    <n v="3998"/>
    <n v="3973"/>
    <n v="473"/>
    <s v="Northwest"/>
    <x v="6"/>
  </r>
  <r>
    <n v="57"/>
    <s v="Skagit County"/>
    <x v="11"/>
    <n v="8459"/>
    <n v="4064"/>
    <n v="4395"/>
    <n v="3889"/>
    <n v="4154"/>
    <n v="416"/>
    <s v="Northwest"/>
    <x v="6"/>
  </r>
  <r>
    <n v="57"/>
    <s v="Skagit County"/>
    <x v="12"/>
    <n v="8526"/>
    <n v="4216"/>
    <n v="4310"/>
    <n v="4048"/>
    <n v="4101"/>
    <n v="377"/>
    <s v="Northwest"/>
    <x v="6"/>
  </r>
  <r>
    <n v="57"/>
    <s v="Skagit County"/>
    <x v="13"/>
    <n v="7487"/>
    <n v="3664"/>
    <n v="3823"/>
    <n v="3549"/>
    <n v="3666"/>
    <n v="272"/>
    <s v="Northwest"/>
    <x v="6"/>
  </r>
  <r>
    <n v="57"/>
    <s v="Skagit County"/>
    <x v="14"/>
    <n v="5736"/>
    <n v="2782"/>
    <n v="2954"/>
    <n v="2703"/>
    <n v="2830"/>
    <n v="203"/>
    <s v="Northwest"/>
    <x v="6"/>
  </r>
  <r>
    <n v="57"/>
    <s v="Skagit County"/>
    <x v="15"/>
    <n v="4180"/>
    <n v="2003"/>
    <n v="2177"/>
    <n v="1933"/>
    <n v="2108"/>
    <n v="139"/>
    <s v="Northwest"/>
    <x v="6"/>
  </r>
  <r>
    <n v="57"/>
    <s v="Skagit County"/>
    <x v="16"/>
    <n v="3296"/>
    <n v="1503"/>
    <n v="1793"/>
    <n v="1468"/>
    <n v="1725"/>
    <n v="103"/>
    <s v="Northwest"/>
    <x v="6"/>
  </r>
  <r>
    <n v="57"/>
    <s v="Skagit County"/>
    <x v="17"/>
    <n v="2634"/>
    <n v="1145"/>
    <n v="1489"/>
    <n v="1109"/>
    <n v="1449"/>
    <n v="76"/>
    <s v="Northwest"/>
    <x v="6"/>
  </r>
  <r>
    <n v="57"/>
    <s v="Skagit County"/>
    <x v="18"/>
    <n v="2592"/>
    <n v="899"/>
    <n v="1693"/>
    <n v="870"/>
    <n v="1661"/>
    <n v="61"/>
    <s v="Northwest"/>
    <x v="6"/>
  </r>
  <r>
    <n v="59"/>
    <s v="Skamania County"/>
    <x v="0"/>
    <n v="10894"/>
    <n v="5478"/>
    <n v="5416"/>
    <n v="5171"/>
    <n v="5111"/>
    <n v="612"/>
    <s v="South Central"/>
    <x v="8"/>
  </r>
  <r>
    <n v="59"/>
    <s v="Skamania County"/>
    <x v="1"/>
    <n v="553"/>
    <n v="279"/>
    <n v="274"/>
    <n v="251"/>
    <n v="245"/>
    <n v="57"/>
    <s v="South Central"/>
    <x v="8"/>
  </r>
  <r>
    <n v="59"/>
    <s v="Skamania County"/>
    <x v="2"/>
    <n v="665"/>
    <n v="337"/>
    <n v="328"/>
    <n v="315"/>
    <n v="301"/>
    <n v="49"/>
    <s v="South Central"/>
    <x v="8"/>
  </r>
  <r>
    <n v="59"/>
    <s v="Skamania County"/>
    <x v="3"/>
    <n v="763"/>
    <n v="378"/>
    <n v="385"/>
    <n v="353"/>
    <n v="355"/>
    <n v="55"/>
    <s v="South Central"/>
    <x v="8"/>
  </r>
  <r>
    <n v="59"/>
    <s v="Skamania County"/>
    <x v="4"/>
    <n v="711"/>
    <n v="364"/>
    <n v="347"/>
    <n v="335"/>
    <n v="322"/>
    <n v="54"/>
    <s v="South Central"/>
    <x v="8"/>
  </r>
  <r>
    <n v="59"/>
    <s v="Skamania County"/>
    <x v="5"/>
    <n v="547"/>
    <n v="308"/>
    <n v="239"/>
    <n v="269"/>
    <n v="214"/>
    <n v="64"/>
    <s v="South Central"/>
    <x v="8"/>
  </r>
  <r>
    <n v="59"/>
    <s v="Skamania County"/>
    <x v="6"/>
    <n v="562"/>
    <n v="292"/>
    <n v="270"/>
    <n v="272"/>
    <n v="247"/>
    <n v="43"/>
    <s v="South Central"/>
    <x v="8"/>
  </r>
  <r>
    <n v="59"/>
    <s v="Skamania County"/>
    <x v="7"/>
    <n v="536"/>
    <n v="284"/>
    <n v="252"/>
    <n v="269"/>
    <n v="245"/>
    <n v="22"/>
    <s v="South Central"/>
    <x v="8"/>
  </r>
  <r>
    <n v="59"/>
    <s v="Skamania County"/>
    <x v="8"/>
    <n v="623"/>
    <n v="306"/>
    <n v="317"/>
    <n v="287"/>
    <n v="301"/>
    <n v="35"/>
    <s v="South Central"/>
    <x v="8"/>
  </r>
  <r>
    <n v="59"/>
    <s v="Skamania County"/>
    <x v="9"/>
    <n v="740"/>
    <n v="358"/>
    <n v="382"/>
    <n v="348"/>
    <n v="367"/>
    <n v="25"/>
    <s v="South Central"/>
    <x v="8"/>
  </r>
  <r>
    <n v="59"/>
    <s v="Skamania County"/>
    <x v="10"/>
    <n v="993"/>
    <n v="500"/>
    <n v="493"/>
    <n v="481"/>
    <n v="468"/>
    <n v="44"/>
    <s v="South Central"/>
    <x v="8"/>
  </r>
  <r>
    <n v="59"/>
    <s v="Skamania County"/>
    <x v="11"/>
    <n v="997"/>
    <n v="493"/>
    <n v="504"/>
    <n v="475"/>
    <n v="481"/>
    <n v="41"/>
    <s v="South Central"/>
    <x v="8"/>
  </r>
  <r>
    <n v="59"/>
    <s v="Skamania County"/>
    <x v="12"/>
    <n v="978"/>
    <n v="478"/>
    <n v="500"/>
    <n v="458"/>
    <n v="479"/>
    <n v="41"/>
    <s v="South Central"/>
    <x v="8"/>
  </r>
  <r>
    <n v="59"/>
    <s v="Skamania County"/>
    <x v="13"/>
    <n v="815"/>
    <n v="423"/>
    <n v="392"/>
    <n v="407"/>
    <n v="373"/>
    <n v="35"/>
    <s v="South Central"/>
    <x v="8"/>
  </r>
  <r>
    <n v="59"/>
    <s v="Skamania County"/>
    <x v="14"/>
    <n v="548"/>
    <n v="280"/>
    <n v="268"/>
    <n v="271"/>
    <n v="262"/>
    <n v="15"/>
    <s v="South Central"/>
    <x v="8"/>
  </r>
  <r>
    <n v="59"/>
    <s v="Skamania County"/>
    <x v="15"/>
    <n v="313"/>
    <n v="158"/>
    <n v="155"/>
    <n v="151"/>
    <n v="151"/>
    <n v="11"/>
    <s v="South Central"/>
    <x v="8"/>
  </r>
  <r>
    <n v="59"/>
    <s v="Skamania County"/>
    <x v="16"/>
    <n v="241"/>
    <n v="109"/>
    <n v="132"/>
    <n v="101"/>
    <n v="129"/>
    <n v="11"/>
    <s v="South Central"/>
    <x v="8"/>
  </r>
  <r>
    <n v="59"/>
    <s v="Skamania County"/>
    <x v="17"/>
    <n v="161"/>
    <n v="71"/>
    <n v="90"/>
    <n v="70"/>
    <n v="87"/>
    <n v="4"/>
    <s v="South Central"/>
    <x v="8"/>
  </r>
  <r>
    <n v="59"/>
    <s v="Skamania County"/>
    <x v="18"/>
    <n v="148"/>
    <n v="60"/>
    <n v="88"/>
    <n v="58"/>
    <n v="84"/>
    <n v="6"/>
    <s v="South Central"/>
    <x v="8"/>
  </r>
  <r>
    <n v="61"/>
    <s v="Snohomish County"/>
    <x v="0"/>
    <n v="694571"/>
    <n v="347949"/>
    <n v="346622"/>
    <n v="292470"/>
    <n v="289606"/>
    <n v="112495"/>
    <s v="Snohomish"/>
    <x v="10"/>
  </r>
  <r>
    <n v="61"/>
    <s v="Snohomish County"/>
    <x v="1"/>
    <n v="48184"/>
    <n v="24478"/>
    <n v="23706"/>
    <n v="18834"/>
    <n v="18045"/>
    <n v="11305"/>
    <s v="Snohomish"/>
    <x v="10"/>
  </r>
  <r>
    <n v="61"/>
    <s v="Snohomish County"/>
    <x v="2"/>
    <n v="46667"/>
    <n v="23757"/>
    <n v="22910"/>
    <n v="18717"/>
    <n v="17925"/>
    <n v="10025"/>
    <s v="Snohomish"/>
    <x v="10"/>
  </r>
  <r>
    <n v="61"/>
    <s v="Snohomish County"/>
    <x v="3"/>
    <n v="46672"/>
    <n v="23844"/>
    <n v="22828"/>
    <n v="19314"/>
    <n v="18454"/>
    <n v="8904"/>
    <s v="Snohomish"/>
    <x v="10"/>
  </r>
  <r>
    <n v="61"/>
    <s v="Snohomish County"/>
    <x v="4"/>
    <n v="46503"/>
    <n v="24214"/>
    <n v="22289"/>
    <n v="20100"/>
    <n v="18454"/>
    <n v="7949"/>
    <s v="Snohomish"/>
    <x v="10"/>
  </r>
  <r>
    <n v="61"/>
    <s v="Snohomish County"/>
    <x v="5"/>
    <n v="43672"/>
    <n v="22941"/>
    <n v="20731"/>
    <n v="19072"/>
    <n v="17176"/>
    <n v="7424"/>
    <s v="Snohomish"/>
    <x v="10"/>
  </r>
  <r>
    <n v="61"/>
    <s v="Snohomish County"/>
    <x v="6"/>
    <n v="50911"/>
    <n v="25947"/>
    <n v="24964"/>
    <n v="21256"/>
    <n v="20260"/>
    <n v="9395"/>
    <s v="Snohomish"/>
    <x v="10"/>
  </r>
  <r>
    <n v="61"/>
    <s v="Snohomish County"/>
    <x v="7"/>
    <n v="47977"/>
    <n v="24550"/>
    <n v="23427"/>
    <n v="19764"/>
    <n v="18679"/>
    <n v="9534"/>
    <s v="Snohomish"/>
    <x v="10"/>
  </r>
  <r>
    <n v="61"/>
    <s v="Snohomish County"/>
    <x v="8"/>
    <n v="51082"/>
    <n v="25732"/>
    <n v="25350"/>
    <n v="20994"/>
    <n v="20506"/>
    <n v="9582"/>
    <s v="Snohomish"/>
    <x v="10"/>
  </r>
  <r>
    <n v="61"/>
    <s v="Snohomish County"/>
    <x v="9"/>
    <n v="52693"/>
    <n v="26766"/>
    <n v="25927"/>
    <n v="22573"/>
    <n v="21713"/>
    <n v="8407"/>
    <s v="Snohomish"/>
    <x v="10"/>
  </r>
  <r>
    <n v="61"/>
    <s v="Snohomish County"/>
    <x v="10"/>
    <n v="58296"/>
    <n v="29600"/>
    <n v="28696"/>
    <n v="25781"/>
    <n v="24632"/>
    <n v="7883"/>
    <s v="Snohomish"/>
    <x v="10"/>
  </r>
  <r>
    <n v="61"/>
    <s v="Snohomish County"/>
    <x v="11"/>
    <n v="54475"/>
    <n v="27387"/>
    <n v="27088"/>
    <n v="24171"/>
    <n v="23639"/>
    <n v="6665"/>
    <s v="Snohomish"/>
    <x v="10"/>
  </r>
  <r>
    <n v="61"/>
    <s v="Snohomish County"/>
    <x v="12"/>
    <n v="44750"/>
    <n v="22043"/>
    <n v="22707"/>
    <n v="19646"/>
    <n v="19998"/>
    <n v="5106"/>
    <s v="Snohomish"/>
    <x v="10"/>
  </r>
  <r>
    <n v="61"/>
    <s v="Snohomish County"/>
    <x v="13"/>
    <n v="34325"/>
    <n v="16578"/>
    <n v="17747"/>
    <n v="14944"/>
    <n v="15622"/>
    <n v="3759"/>
    <s v="Snohomish"/>
    <x v="10"/>
  </r>
  <r>
    <n v="61"/>
    <s v="Snohomish County"/>
    <x v="14"/>
    <n v="22334"/>
    <n v="10862"/>
    <n v="11472"/>
    <n v="9738"/>
    <n v="10092"/>
    <n v="2504"/>
    <s v="Snohomish"/>
    <x v="10"/>
  </r>
  <r>
    <n v="61"/>
    <s v="Snohomish County"/>
    <x v="15"/>
    <n v="15468"/>
    <n v="7244"/>
    <n v="8224"/>
    <n v="6445"/>
    <n v="7251"/>
    <n v="1772"/>
    <s v="Snohomish"/>
    <x v="10"/>
  </r>
  <r>
    <n v="61"/>
    <s v="Snohomish County"/>
    <x v="16"/>
    <n v="11975"/>
    <n v="5259"/>
    <n v="6716"/>
    <n v="4793"/>
    <n v="6092"/>
    <n v="1090"/>
    <s v="Snohomish"/>
    <x v="10"/>
  </r>
  <r>
    <n v="61"/>
    <s v="Snohomish County"/>
    <x v="17"/>
    <n v="9194"/>
    <n v="3650"/>
    <n v="5544"/>
    <n v="3410"/>
    <n v="5107"/>
    <n v="677"/>
    <s v="Snohomish"/>
    <x v="10"/>
  </r>
  <r>
    <n v="61"/>
    <s v="Snohomish County"/>
    <x v="18"/>
    <n v="9393"/>
    <n v="3097"/>
    <n v="6296"/>
    <n v="2918"/>
    <n v="5961"/>
    <n v="514"/>
    <s v="Snohomish"/>
    <x v="10"/>
  </r>
  <r>
    <n v="63"/>
    <s v="Spokane County"/>
    <x v="0"/>
    <n v="468684"/>
    <n v="230971"/>
    <n v="237713"/>
    <n v="210790"/>
    <n v="217354"/>
    <n v="40540"/>
    <s v="Spokane"/>
    <x v="11"/>
  </r>
  <r>
    <n v="63"/>
    <s v="Spokane County"/>
    <x v="1"/>
    <n v="30669"/>
    <n v="15703"/>
    <n v="14966"/>
    <n v="13420"/>
    <n v="12761"/>
    <n v="4488"/>
    <s v="Spokane"/>
    <x v="11"/>
  </r>
  <r>
    <n v="63"/>
    <s v="Spokane County"/>
    <x v="2"/>
    <n v="29429"/>
    <n v="15104"/>
    <n v="14325"/>
    <n v="13132"/>
    <n v="12351"/>
    <n v="3946"/>
    <s v="Spokane"/>
    <x v="11"/>
  </r>
  <r>
    <n v="63"/>
    <s v="Spokane County"/>
    <x v="3"/>
    <n v="29867"/>
    <n v="15385"/>
    <n v="14482"/>
    <n v="13614"/>
    <n v="12799"/>
    <n v="3454"/>
    <s v="Spokane"/>
    <x v="11"/>
  </r>
  <r>
    <n v="63"/>
    <s v="Spokane County"/>
    <x v="4"/>
    <n v="32725"/>
    <n v="16436"/>
    <n v="16289"/>
    <n v="14742"/>
    <n v="14345"/>
    <n v="3638"/>
    <s v="Spokane"/>
    <x v="11"/>
  </r>
  <r>
    <n v="63"/>
    <s v="Spokane County"/>
    <x v="5"/>
    <n v="34733"/>
    <n v="17866"/>
    <n v="16867"/>
    <n v="15931"/>
    <n v="15093"/>
    <n v="3709"/>
    <s v="Spokane"/>
    <x v="11"/>
  </r>
  <r>
    <n v="63"/>
    <s v="Spokane County"/>
    <x v="6"/>
    <n v="37605"/>
    <n v="19255"/>
    <n v="18350"/>
    <n v="17497"/>
    <n v="16616"/>
    <n v="3492"/>
    <s v="Spokane"/>
    <x v="11"/>
  </r>
  <r>
    <n v="63"/>
    <s v="Spokane County"/>
    <x v="7"/>
    <n v="30882"/>
    <n v="15563"/>
    <n v="15319"/>
    <n v="13981"/>
    <n v="13899"/>
    <n v="3002"/>
    <s v="Spokane"/>
    <x v="11"/>
  </r>
  <r>
    <n v="63"/>
    <s v="Spokane County"/>
    <x v="8"/>
    <n v="28725"/>
    <n v="14640"/>
    <n v="14085"/>
    <n v="13293"/>
    <n v="12817"/>
    <n v="2615"/>
    <s v="Spokane"/>
    <x v="11"/>
  </r>
  <r>
    <n v="63"/>
    <s v="Spokane County"/>
    <x v="9"/>
    <n v="29169"/>
    <n v="14746"/>
    <n v="14423"/>
    <n v="13576"/>
    <n v="13376"/>
    <n v="2217"/>
    <s v="Spokane"/>
    <x v="11"/>
  </r>
  <r>
    <n v="63"/>
    <s v="Spokane County"/>
    <x v="10"/>
    <n v="33831"/>
    <n v="16593"/>
    <n v="17238"/>
    <n v="15513"/>
    <n v="16049"/>
    <n v="2269"/>
    <s v="Spokane"/>
    <x v="11"/>
  </r>
  <r>
    <n v="63"/>
    <s v="Spokane County"/>
    <x v="11"/>
    <n v="33851"/>
    <n v="16595"/>
    <n v="17256"/>
    <n v="15576"/>
    <n v="16177"/>
    <n v="2098"/>
    <s v="Spokane"/>
    <x v="11"/>
  </r>
  <r>
    <n v="63"/>
    <s v="Spokane County"/>
    <x v="12"/>
    <n v="31046"/>
    <n v="15051"/>
    <n v="15995"/>
    <n v="14201"/>
    <n v="15066"/>
    <n v="1779"/>
    <s v="Spokane"/>
    <x v="11"/>
  </r>
  <r>
    <n v="63"/>
    <s v="Spokane County"/>
    <x v="13"/>
    <n v="25200"/>
    <n v="12328"/>
    <n v="12872"/>
    <n v="11700"/>
    <n v="12196"/>
    <n v="1304"/>
    <s v="Spokane"/>
    <x v="11"/>
  </r>
  <r>
    <n v="63"/>
    <s v="Spokane County"/>
    <x v="14"/>
    <n v="17795"/>
    <n v="8422"/>
    <n v="9373"/>
    <n v="7997"/>
    <n v="8931"/>
    <n v="867"/>
    <s v="Spokane"/>
    <x v="11"/>
  </r>
  <r>
    <n v="63"/>
    <s v="Spokane County"/>
    <x v="15"/>
    <n v="13534"/>
    <n v="6119"/>
    <n v="7415"/>
    <n v="5859"/>
    <n v="7080"/>
    <n v="595"/>
    <s v="Spokane"/>
    <x v="11"/>
  </r>
  <r>
    <n v="63"/>
    <s v="Spokane County"/>
    <x v="16"/>
    <n v="11324"/>
    <n v="4913"/>
    <n v="6411"/>
    <n v="4710"/>
    <n v="6106"/>
    <n v="508"/>
    <s v="Spokane"/>
    <x v="11"/>
  </r>
  <r>
    <n v="63"/>
    <s v="Spokane County"/>
    <x v="17"/>
    <n v="8751"/>
    <n v="3329"/>
    <n v="5422"/>
    <n v="3226"/>
    <n v="5259"/>
    <n v="266"/>
    <s v="Spokane"/>
    <x v="11"/>
  </r>
  <r>
    <n v="63"/>
    <s v="Spokane County"/>
    <x v="18"/>
    <n v="9548"/>
    <n v="2923"/>
    <n v="6625"/>
    <n v="2822"/>
    <n v="6433"/>
    <n v="293"/>
    <s v="Spokane"/>
    <x v="11"/>
  </r>
  <r>
    <n v="65"/>
    <s v="Stevens County"/>
    <x v="0"/>
    <n v="42334"/>
    <n v="21074"/>
    <n v="21260"/>
    <n v="19013"/>
    <n v="19180"/>
    <n v="4141"/>
    <s v="Eastern"/>
    <x v="1"/>
  </r>
  <r>
    <n v="65"/>
    <s v="Stevens County"/>
    <x v="1"/>
    <n v="2561"/>
    <n v="1345"/>
    <n v="1216"/>
    <n v="1104"/>
    <n v="1024"/>
    <n v="433"/>
    <s v="Eastern"/>
    <x v="1"/>
  </r>
  <r>
    <n v="65"/>
    <s v="Stevens County"/>
    <x v="2"/>
    <n v="2615"/>
    <n v="1314"/>
    <n v="1301"/>
    <n v="1107"/>
    <n v="1098"/>
    <n v="410"/>
    <s v="Eastern"/>
    <x v="1"/>
  </r>
  <r>
    <n v="65"/>
    <s v="Stevens County"/>
    <x v="3"/>
    <n v="3033"/>
    <n v="1511"/>
    <n v="1522"/>
    <n v="1313"/>
    <n v="1304"/>
    <n v="416"/>
    <s v="Eastern"/>
    <x v="1"/>
  </r>
  <r>
    <n v="65"/>
    <s v="Stevens County"/>
    <x v="4"/>
    <n v="3263"/>
    <n v="1673"/>
    <n v="1590"/>
    <n v="1465"/>
    <n v="1395"/>
    <n v="403"/>
    <s v="Eastern"/>
    <x v="1"/>
  </r>
  <r>
    <n v="65"/>
    <s v="Stevens County"/>
    <x v="5"/>
    <n v="2042"/>
    <n v="1138"/>
    <n v="904"/>
    <n v="969"/>
    <n v="756"/>
    <n v="317"/>
    <s v="Eastern"/>
    <x v="1"/>
  </r>
  <r>
    <n v="65"/>
    <s v="Stevens County"/>
    <x v="6"/>
    <n v="1701"/>
    <n v="960"/>
    <n v="741"/>
    <n v="853"/>
    <n v="642"/>
    <n v="206"/>
    <s v="Eastern"/>
    <x v="1"/>
  </r>
  <r>
    <n v="65"/>
    <s v="Stevens County"/>
    <x v="7"/>
    <n v="1567"/>
    <n v="801"/>
    <n v="766"/>
    <n v="701"/>
    <n v="657"/>
    <n v="209"/>
    <s v="Eastern"/>
    <x v="1"/>
  </r>
  <r>
    <n v="65"/>
    <s v="Stevens County"/>
    <x v="8"/>
    <n v="2099"/>
    <n v="1009"/>
    <n v="1090"/>
    <n v="891"/>
    <n v="979"/>
    <n v="229"/>
    <s v="Eastern"/>
    <x v="1"/>
  </r>
  <r>
    <n v="65"/>
    <s v="Stevens County"/>
    <x v="9"/>
    <n v="2542"/>
    <n v="1204"/>
    <n v="1338"/>
    <n v="1105"/>
    <n v="1224"/>
    <n v="213"/>
    <s v="Eastern"/>
    <x v="1"/>
  </r>
  <r>
    <n v="65"/>
    <s v="Stevens County"/>
    <x v="10"/>
    <n v="3257"/>
    <n v="1620"/>
    <n v="1637"/>
    <n v="1494"/>
    <n v="1487"/>
    <n v="276"/>
    <s v="Eastern"/>
    <x v="1"/>
  </r>
  <r>
    <n v="65"/>
    <s v="Stevens County"/>
    <x v="11"/>
    <n v="3791"/>
    <n v="1812"/>
    <n v="1979"/>
    <n v="1684"/>
    <n v="1838"/>
    <n v="269"/>
    <s v="Eastern"/>
    <x v="1"/>
  </r>
  <r>
    <n v="65"/>
    <s v="Stevens County"/>
    <x v="12"/>
    <n v="3689"/>
    <n v="1808"/>
    <n v="1881"/>
    <n v="1694"/>
    <n v="1780"/>
    <n v="215"/>
    <s v="Eastern"/>
    <x v="1"/>
  </r>
  <r>
    <n v="65"/>
    <s v="Stevens County"/>
    <x v="13"/>
    <n v="3209"/>
    <n v="1615"/>
    <n v="1594"/>
    <n v="1537"/>
    <n v="1507"/>
    <n v="165"/>
    <s v="Eastern"/>
    <x v="1"/>
  </r>
  <r>
    <n v="65"/>
    <s v="Stevens County"/>
    <x v="14"/>
    <n v="2517"/>
    <n v="1252"/>
    <n v="1265"/>
    <n v="1179"/>
    <n v="1197"/>
    <n v="141"/>
    <s v="Eastern"/>
    <x v="1"/>
  </r>
  <r>
    <n v="65"/>
    <s v="Stevens County"/>
    <x v="15"/>
    <n v="1757"/>
    <n v="860"/>
    <n v="897"/>
    <n v="817"/>
    <n v="853"/>
    <n v="87"/>
    <s v="Eastern"/>
    <x v="1"/>
  </r>
  <r>
    <n v="65"/>
    <s v="Stevens County"/>
    <x v="16"/>
    <n v="1183"/>
    <n v="575"/>
    <n v="608"/>
    <n v="555"/>
    <n v="561"/>
    <n v="67"/>
    <s v="Eastern"/>
    <x v="1"/>
  </r>
  <r>
    <n v="65"/>
    <s v="Stevens County"/>
    <x v="17"/>
    <n v="769"/>
    <n v="334"/>
    <n v="435"/>
    <n v="317"/>
    <n v="400"/>
    <n v="52"/>
    <s v="Eastern"/>
    <x v="1"/>
  </r>
  <r>
    <n v="65"/>
    <s v="Stevens County"/>
    <x v="18"/>
    <n v="739"/>
    <n v="243"/>
    <n v="496"/>
    <n v="228"/>
    <n v="478"/>
    <n v="33"/>
    <s v="Eastern"/>
    <x v="1"/>
  </r>
  <r>
    <n v="67"/>
    <s v="Thurston County"/>
    <x v="0"/>
    <n v="250979"/>
    <n v="123634"/>
    <n v="127345"/>
    <n v="105973"/>
    <n v="109546"/>
    <n v="35460"/>
    <s v="PacMtn"/>
    <x v="5"/>
  </r>
  <r>
    <n v="67"/>
    <s v="Thurston County"/>
    <x v="1"/>
    <n v="15472"/>
    <n v="7908"/>
    <n v="7564"/>
    <n v="6209"/>
    <n v="5937"/>
    <n v="3326"/>
    <s v="PacMtn"/>
    <x v="5"/>
  </r>
  <r>
    <n v="67"/>
    <s v="Thurston County"/>
    <x v="2"/>
    <n v="15384"/>
    <n v="7914"/>
    <n v="7470"/>
    <n v="6328"/>
    <n v="5963"/>
    <n v="3093"/>
    <s v="PacMtn"/>
    <x v="5"/>
  </r>
  <r>
    <n v="67"/>
    <s v="Thurston County"/>
    <x v="3"/>
    <n v="15915"/>
    <n v="8147"/>
    <n v="7768"/>
    <n v="6716"/>
    <n v="6325"/>
    <n v="2874"/>
    <s v="PacMtn"/>
    <x v="5"/>
  </r>
  <r>
    <n v="67"/>
    <s v="Thurston County"/>
    <x v="4"/>
    <n v="16105"/>
    <n v="8396"/>
    <n v="7709"/>
    <n v="6887"/>
    <n v="6406"/>
    <n v="2812"/>
    <s v="PacMtn"/>
    <x v="5"/>
  </r>
  <r>
    <n v="67"/>
    <s v="Thurston County"/>
    <x v="5"/>
    <n v="16214"/>
    <n v="8322"/>
    <n v="7892"/>
    <n v="6879"/>
    <n v="6536"/>
    <n v="2799"/>
    <s v="PacMtn"/>
    <x v="5"/>
  </r>
  <r>
    <n v="67"/>
    <s v="Thurston County"/>
    <x v="6"/>
    <n v="19585"/>
    <n v="9988"/>
    <n v="9597"/>
    <n v="8380"/>
    <n v="8095"/>
    <n v="3110"/>
    <s v="PacMtn"/>
    <x v="5"/>
  </r>
  <r>
    <n v="67"/>
    <s v="Thurston County"/>
    <x v="7"/>
    <n v="17263"/>
    <n v="8735"/>
    <n v="8528"/>
    <n v="7415"/>
    <n v="7374"/>
    <n v="2474"/>
    <s v="PacMtn"/>
    <x v="5"/>
  </r>
  <r>
    <n v="67"/>
    <s v="Thurston County"/>
    <x v="8"/>
    <n v="16634"/>
    <n v="8331"/>
    <n v="8303"/>
    <n v="7102"/>
    <n v="7037"/>
    <n v="2495"/>
    <s v="PacMtn"/>
    <x v="5"/>
  </r>
  <r>
    <n v="67"/>
    <s v="Thurston County"/>
    <x v="9"/>
    <n v="16649"/>
    <n v="8253"/>
    <n v="8396"/>
    <n v="7119"/>
    <n v="7238"/>
    <n v="2292"/>
    <s v="PacMtn"/>
    <x v="5"/>
  </r>
  <r>
    <n v="67"/>
    <s v="Thurston County"/>
    <x v="10"/>
    <n v="18211"/>
    <n v="8822"/>
    <n v="9389"/>
    <n v="7756"/>
    <n v="8204"/>
    <n v="2251"/>
    <s v="PacMtn"/>
    <x v="5"/>
  </r>
  <r>
    <n v="67"/>
    <s v="Thurston County"/>
    <x v="11"/>
    <n v="18613"/>
    <n v="8891"/>
    <n v="9722"/>
    <n v="7816"/>
    <n v="8516"/>
    <n v="2281"/>
    <s v="PacMtn"/>
    <x v="5"/>
  </r>
  <r>
    <n v="67"/>
    <s v="Thurston County"/>
    <x v="12"/>
    <n v="18220"/>
    <n v="8600"/>
    <n v="9620"/>
    <n v="7728"/>
    <n v="8606"/>
    <n v="1886"/>
    <s v="PacMtn"/>
    <x v="5"/>
  </r>
  <r>
    <n v="67"/>
    <s v="Thurston County"/>
    <x v="13"/>
    <n v="14995"/>
    <n v="7293"/>
    <n v="7702"/>
    <n v="6650"/>
    <n v="6959"/>
    <n v="1386"/>
    <s v="PacMtn"/>
    <x v="5"/>
  </r>
  <r>
    <n v="67"/>
    <s v="Thurston County"/>
    <x v="14"/>
    <n v="10364"/>
    <n v="5021"/>
    <n v="5343"/>
    <n v="4576"/>
    <n v="4859"/>
    <n v="929"/>
    <s v="PacMtn"/>
    <x v="5"/>
  </r>
  <r>
    <n v="67"/>
    <s v="Thurston County"/>
    <x v="15"/>
    <n v="7097"/>
    <n v="3348"/>
    <n v="3749"/>
    <n v="3065"/>
    <n v="3399"/>
    <n v="633"/>
    <s v="PacMtn"/>
    <x v="5"/>
  </r>
  <r>
    <n v="67"/>
    <s v="Thurston County"/>
    <x v="16"/>
    <n v="5589"/>
    <n v="2508"/>
    <n v="3081"/>
    <n v="2328"/>
    <n v="2827"/>
    <n v="434"/>
    <s v="PacMtn"/>
    <x v="5"/>
  </r>
  <r>
    <n v="67"/>
    <s v="Thurston County"/>
    <x v="17"/>
    <n v="4469"/>
    <n v="1783"/>
    <n v="2686"/>
    <n v="1696"/>
    <n v="2547"/>
    <n v="226"/>
    <s v="PacMtn"/>
    <x v="5"/>
  </r>
  <r>
    <n v="67"/>
    <s v="Thurston County"/>
    <x v="18"/>
    <n v="4200"/>
    <n v="1374"/>
    <n v="2826"/>
    <n v="1323"/>
    <n v="2718"/>
    <n v="159"/>
    <s v="PacMtn"/>
    <x v="5"/>
  </r>
  <r>
    <n v="69"/>
    <s v="Wahkiakum County"/>
    <x v="0"/>
    <n v="4062"/>
    <n v="2003"/>
    <n v="2059"/>
    <n v="1905"/>
    <n v="1939"/>
    <n v="218"/>
    <s v="Southwest"/>
    <x v="4"/>
  </r>
  <r>
    <n v="69"/>
    <s v="Wahkiakum County"/>
    <x v="1"/>
    <n v="180"/>
    <n v="86"/>
    <n v="94"/>
    <n v="75"/>
    <n v="82"/>
    <n v="23"/>
    <s v="Southwest"/>
    <x v="4"/>
  </r>
  <r>
    <n v="69"/>
    <s v="Wahkiakum County"/>
    <x v="2"/>
    <n v="191"/>
    <n v="96"/>
    <n v="95"/>
    <n v="92"/>
    <n v="90"/>
    <n v="9"/>
    <s v="Southwest"/>
    <x v="4"/>
  </r>
  <r>
    <n v="69"/>
    <s v="Wahkiakum County"/>
    <x v="3"/>
    <n v="238"/>
    <n v="124"/>
    <n v="114"/>
    <n v="118"/>
    <n v="106"/>
    <n v="14"/>
    <s v="Southwest"/>
    <x v="4"/>
  </r>
  <r>
    <n v="69"/>
    <s v="Wahkiakum County"/>
    <x v="4"/>
    <n v="241"/>
    <n v="130"/>
    <n v="111"/>
    <n v="121"/>
    <n v="100"/>
    <n v="20"/>
    <s v="Southwest"/>
    <x v="4"/>
  </r>
  <r>
    <n v="69"/>
    <s v="Wahkiakum County"/>
    <x v="5"/>
    <n v="165"/>
    <n v="85"/>
    <n v="80"/>
    <n v="78"/>
    <n v="66"/>
    <n v="21"/>
    <s v="Southwest"/>
    <x v="4"/>
  </r>
  <r>
    <n v="69"/>
    <s v="Wahkiakum County"/>
    <x v="6"/>
    <n v="161"/>
    <n v="89"/>
    <n v="72"/>
    <n v="79"/>
    <n v="62"/>
    <n v="20"/>
    <s v="Southwest"/>
    <x v="4"/>
  </r>
  <r>
    <n v="69"/>
    <s v="Wahkiakum County"/>
    <x v="7"/>
    <n v="124"/>
    <n v="75"/>
    <n v="49"/>
    <n v="68"/>
    <n v="48"/>
    <n v="8"/>
    <s v="Southwest"/>
    <x v="4"/>
  </r>
  <r>
    <n v="69"/>
    <s v="Wahkiakum County"/>
    <x v="8"/>
    <n v="190"/>
    <n v="87"/>
    <n v="103"/>
    <n v="85"/>
    <n v="101"/>
    <n v="4"/>
    <s v="Southwest"/>
    <x v="4"/>
  </r>
  <r>
    <n v="69"/>
    <s v="Wahkiakum County"/>
    <x v="9"/>
    <n v="214"/>
    <n v="103"/>
    <n v="111"/>
    <n v="99"/>
    <n v="101"/>
    <n v="14"/>
    <s v="Southwest"/>
    <x v="4"/>
  </r>
  <r>
    <n v="69"/>
    <s v="Wahkiakum County"/>
    <x v="10"/>
    <n v="272"/>
    <n v="133"/>
    <n v="139"/>
    <n v="131"/>
    <n v="134"/>
    <n v="7"/>
    <s v="Southwest"/>
    <x v="4"/>
  </r>
  <r>
    <n v="69"/>
    <s v="Wahkiakum County"/>
    <x v="11"/>
    <n v="309"/>
    <n v="147"/>
    <n v="162"/>
    <n v="142"/>
    <n v="152"/>
    <n v="15"/>
    <s v="Southwest"/>
    <x v="4"/>
  </r>
  <r>
    <n v="69"/>
    <s v="Wahkiakum County"/>
    <x v="12"/>
    <n v="384"/>
    <n v="194"/>
    <n v="190"/>
    <n v="186"/>
    <n v="181"/>
    <n v="17"/>
    <s v="Southwest"/>
    <x v="4"/>
  </r>
  <r>
    <n v="69"/>
    <s v="Wahkiakum County"/>
    <x v="13"/>
    <n v="429"/>
    <n v="205"/>
    <n v="224"/>
    <n v="197"/>
    <n v="216"/>
    <n v="16"/>
    <s v="Southwest"/>
    <x v="4"/>
  </r>
  <r>
    <n v="69"/>
    <s v="Wahkiakum County"/>
    <x v="14"/>
    <n v="361"/>
    <n v="174"/>
    <n v="187"/>
    <n v="169"/>
    <n v="181"/>
    <n v="11"/>
    <s v="Southwest"/>
    <x v="4"/>
  </r>
  <r>
    <n v="69"/>
    <s v="Wahkiakum County"/>
    <x v="15"/>
    <n v="223"/>
    <n v="110"/>
    <n v="113"/>
    <n v="108"/>
    <n v="110"/>
    <n v="5"/>
    <s v="Southwest"/>
    <x v="4"/>
  </r>
  <r>
    <n v="69"/>
    <s v="Wahkiakum County"/>
    <x v="16"/>
    <n v="161"/>
    <n v="81"/>
    <n v="80"/>
    <n v="79"/>
    <n v="78"/>
    <n v="4"/>
    <s v="Southwest"/>
    <x v="4"/>
  </r>
  <r>
    <n v="69"/>
    <s v="Wahkiakum County"/>
    <x v="17"/>
    <n v="101"/>
    <n v="48"/>
    <n v="53"/>
    <n v="45"/>
    <n v="52"/>
    <n v="4"/>
    <s v="Southwest"/>
    <x v="4"/>
  </r>
  <r>
    <n v="69"/>
    <s v="Wahkiakum County"/>
    <x v="18"/>
    <n v="118"/>
    <n v="36"/>
    <n v="82"/>
    <n v="33"/>
    <n v="79"/>
    <n v="6"/>
    <s v="Southwest"/>
    <x v="4"/>
  </r>
  <r>
    <n v="71"/>
    <s v="Walla Walla County"/>
    <x v="0"/>
    <n v="59059"/>
    <n v="29933"/>
    <n v="29126"/>
    <n v="27729"/>
    <n v="27496"/>
    <n v="3834"/>
    <s v="Eastern"/>
    <x v="1"/>
  </r>
  <r>
    <n v="71"/>
    <s v="Walla Walla County"/>
    <x v="1"/>
    <n v="3820"/>
    <n v="1974"/>
    <n v="1846"/>
    <n v="1803"/>
    <n v="1663"/>
    <n v="354"/>
    <s v="Eastern"/>
    <x v="1"/>
  </r>
  <r>
    <n v="71"/>
    <s v="Walla Walla County"/>
    <x v="2"/>
    <n v="3687"/>
    <n v="1847"/>
    <n v="1840"/>
    <n v="1673"/>
    <n v="1674"/>
    <n v="340"/>
    <s v="Eastern"/>
    <x v="1"/>
  </r>
  <r>
    <n v="71"/>
    <s v="Walla Walla County"/>
    <x v="3"/>
    <n v="3684"/>
    <n v="1919"/>
    <n v="1765"/>
    <n v="1759"/>
    <n v="1639"/>
    <n v="286"/>
    <s v="Eastern"/>
    <x v="1"/>
  </r>
  <r>
    <n v="71"/>
    <s v="Walla Walla County"/>
    <x v="4"/>
    <n v="4613"/>
    <n v="2403"/>
    <n v="2210"/>
    <n v="2200"/>
    <n v="2068"/>
    <n v="345"/>
    <s v="Eastern"/>
    <x v="1"/>
  </r>
  <r>
    <n v="71"/>
    <s v="Walla Walla County"/>
    <x v="5"/>
    <n v="4940"/>
    <n v="2835"/>
    <n v="2105"/>
    <n v="2513"/>
    <n v="1959"/>
    <n v="468"/>
    <s v="Eastern"/>
    <x v="1"/>
  </r>
  <r>
    <n v="71"/>
    <s v="Walla Walla County"/>
    <x v="6"/>
    <n v="4304"/>
    <n v="2371"/>
    <n v="1933"/>
    <n v="2121"/>
    <n v="1817"/>
    <n v="366"/>
    <s v="Eastern"/>
    <x v="1"/>
  </r>
  <r>
    <n v="71"/>
    <s v="Walla Walla County"/>
    <x v="7"/>
    <n v="3903"/>
    <n v="2129"/>
    <n v="1774"/>
    <n v="1920"/>
    <n v="1657"/>
    <n v="326"/>
    <s v="Eastern"/>
    <x v="1"/>
  </r>
  <r>
    <n v="71"/>
    <s v="Walla Walla County"/>
    <x v="8"/>
    <n v="3164"/>
    <n v="1689"/>
    <n v="1475"/>
    <n v="1543"/>
    <n v="1401"/>
    <n v="220"/>
    <s v="Eastern"/>
    <x v="1"/>
  </r>
  <r>
    <n v="71"/>
    <s v="Walla Walla County"/>
    <x v="9"/>
    <n v="3467"/>
    <n v="1782"/>
    <n v="1685"/>
    <n v="1656"/>
    <n v="1596"/>
    <n v="215"/>
    <s v="Eastern"/>
    <x v="1"/>
  </r>
  <r>
    <n v="71"/>
    <s v="Walla Walla County"/>
    <x v="10"/>
    <n v="3868"/>
    <n v="1946"/>
    <n v="1922"/>
    <n v="1848"/>
    <n v="1826"/>
    <n v="194"/>
    <s v="Eastern"/>
    <x v="1"/>
  </r>
  <r>
    <n v="71"/>
    <s v="Walla Walla County"/>
    <x v="11"/>
    <n v="3986"/>
    <n v="1978"/>
    <n v="2008"/>
    <n v="1895"/>
    <n v="1919"/>
    <n v="172"/>
    <s v="Eastern"/>
    <x v="1"/>
  </r>
  <r>
    <n v="71"/>
    <s v="Walla Walla County"/>
    <x v="12"/>
    <n v="3675"/>
    <n v="1840"/>
    <n v="1835"/>
    <n v="1775"/>
    <n v="1762"/>
    <n v="138"/>
    <s v="Eastern"/>
    <x v="1"/>
  </r>
  <r>
    <n v="71"/>
    <s v="Walla Walla County"/>
    <x v="13"/>
    <n v="3019"/>
    <n v="1457"/>
    <n v="1562"/>
    <n v="1410"/>
    <n v="1487"/>
    <n v="122"/>
    <s v="Eastern"/>
    <x v="1"/>
  </r>
  <r>
    <n v="71"/>
    <s v="Walla Walla County"/>
    <x v="14"/>
    <n v="2292"/>
    <n v="1098"/>
    <n v="1194"/>
    <n v="1064"/>
    <n v="1145"/>
    <n v="83"/>
    <s v="Eastern"/>
    <x v="1"/>
  </r>
  <r>
    <n v="71"/>
    <s v="Walla Walla County"/>
    <x v="15"/>
    <n v="1816"/>
    <n v="816"/>
    <n v="1000"/>
    <n v="786"/>
    <n v="967"/>
    <n v="63"/>
    <s v="Eastern"/>
    <x v="1"/>
  </r>
  <r>
    <n v="71"/>
    <s v="Walla Walla County"/>
    <x v="16"/>
    <n v="1665"/>
    <n v="697"/>
    <n v="968"/>
    <n v="660"/>
    <n v="946"/>
    <n v="59"/>
    <s v="Eastern"/>
    <x v="1"/>
  </r>
  <r>
    <n v="71"/>
    <s v="Walla Walla County"/>
    <x v="17"/>
    <n v="1466"/>
    <n v="586"/>
    <n v="880"/>
    <n v="551"/>
    <n v="865"/>
    <n v="50"/>
    <s v="Eastern"/>
    <x v="1"/>
  </r>
  <r>
    <n v="71"/>
    <s v="Walla Walla County"/>
    <x v="18"/>
    <n v="1690"/>
    <n v="566"/>
    <n v="1124"/>
    <n v="552"/>
    <n v="1105"/>
    <n v="33"/>
    <s v="Eastern"/>
    <x v="1"/>
  </r>
  <r>
    <n v="73"/>
    <s v="Whatcom County"/>
    <x v="0"/>
    <n v="200434"/>
    <n v="99041"/>
    <n v="101393"/>
    <n v="88734"/>
    <n v="90867"/>
    <n v="20833"/>
    <s v="Northwest"/>
    <x v="6"/>
  </r>
  <r>
    <n v="73"/>
    <s v="Whatcom County"/>
    <x v="1"/>
    <n v="11914"/>
    <n v="6101"/>
    <n v="5813"/>
    <n v="5033"/>
    <n v="4815"/>
    <n v="2066"/>
    <s v="Northwest"/>
    <x v="6"/>
  </r>
  <r>
    <n v="73"/>
    <s v="Whatcom County"/>
    <x v="2"/>
    <n v="11254"/>
    <n v="5627"/>
    <n v="5627"/>
    <n v="4828"/>
    <n v="4748"/>
    <n v="1678"/>
    <s v="Northwest"/>
    <x v="6"/>
  </r>
  <r>
    <n v="73"/>
    <s v="Whatcom County"/>
    <x v="3"/>
    <n v="11485"/>
    <n v="5863"/>
    <n v="5622"/>
    <n v="5087"/>
    <n v="4837"/>
    <n v="1561"/>
    <s v="Northwest"/>
    <x v="6"/>
  </r>
  <r>
    <n v="73"/>
    <s v="Whatcom County"/>
    <x v="4"/>
    <n v="15845"/>
    <n v="7568"/>
    <n v="8277"/>
    <n v="6603"/>
    <n v="7205"/>
    <n v="2037"/>
    <s v="Northwest"/>
    <x v="6"/>
  </r>
  <r>
    <n v="73"/>
    <s v="Whatcom County"/>
    <x v="5"/>
    <n v="25640"/>
    <n v="12700"/>
    <n v="12940"/>
    <n v="11086"/>
    <n v="11346"/>
    <n v="3208"/>
    <s v="Northwest"/>
    <x v="6"/>
  </r>
  <r>
    <n v="73"/>
    <s v="Whatcom County"/>
    <x v="6"/>
    <n v="13615"/>
    <n v="7066"/>
    <n v="6549"/>
    <n v="6204"/>
    <n v="5771"/>
    <n v="1640"/>
    <s v="Northwest"/>
    <x v="6"/>
  </r>
  <r>
    <n v="73"/>
    <s v="Whatcom County"/>
    <x v="7"/>
    <n v="8723"/>
    <n v="4722"/>
    <n v="4001"/>
    <n v="4094"/>
    <n v="3517"/>
    <n v="1112"/>
    <s v="Northwest"/>
    <x v="6"/>
  </r>
  <r>
    <n v="73"/>
    <s v="Whatcom County"/>
    <x v="8"/>
    <n v="11915"/>
    <n v="6128"/>
    <n v="5787"/>
    <n v="5451"/>
    <n v="5113"/>
    <n v="1351"/>
    <s v="Northwest"/>
    <x v="6"/>
  </r>
  <r>
    <n v="73"/>
    <s v="Whatcom County"/>
    <x v="9"/>
    <n v="12063"/>
    <n v="6055"/>
    <n v="6008"/>
    <n v="5459"/>
    <n v="5393"/>
    <n v="1211"/>
    <s v="Northwest"/>
    <x v="6"/>
  </r>
  <r>
    <n v="73"/>
    <s v="Whatcom County"/>
    <x v="10"/>
    <n v="13280"/>
    <n v="6474"/>
    <n v="6806"/>
    <n v="5940"/>
    <n v="6252"/>
    <n v="1088"/>
    <s v="Northwest"/>
    <x v="6"/>
  </r>
  <r>
    <n v="73"/>
    <s v="Whatcom County"/>
    <x v="11"/>
    <n v="13521"/>
    <n v="6605"/>
    <n v="6916"/>
    <n v="6148"/>
    <n v="6374"/>
    <n v="999"/>
    <s v="Northwest"/>
    <x v="6"/>
  </r>
  <r>
    <n v="73"/>
    <s v="Whatcom County"/>
    <x v="12"/>
    <n v="13652"/>
    <n v="6622"/>
    <n v="7030"/>
    <n v="6184"/>
    <n v="6477"/>
    <n v="991"/>
    <s v="Northwest"/>
    <x v="6"/>
  </r>
  <r>
    <n v="73"/>
    <s v="Whatcom County"/>
    <x v="13"/>
    <n v="11545"/>
    <n v="5678"/>
    <n v="5867"/>
    <n v="5323"/>
    <n v="5505"/>
    <n v="717"/>
    <s v="Northwest"/>
    <x v="6"/>
  </r>
  <r>
    <n v="73"/>
    <s v="Whatcom County"/>
    <x v="14"/>
    <n v="8128"/>
    <n v="4019"/>
    <n v="4109"/>
    <n v="3807"/>
    <n v="3887"/>
    <n v="434"/>
    <s v="Northwest"/>
    <x v="6"/>
  </r>
  <r>
    <n v="73"/>
    <s v="Whatcom County"/>
    <x v="15"/>
    <n v="6022"/>
    <n v="2875"/>
    <n v="3147"/>
    <n v="2712"/>
    <n v="2966"/>
    <n v="344"/>
    <s v="Northwest"/>
    <x v="6"/>
  </r>
  <r>
    <n v="73"/>
    <s v="Whatcom County"/>
    <x v="16"/>
    <n v="4712"/>
    <n v="2170"/>
    <n v="2542"/>
    <n v="2089"/>
    <n v="2435"/>
    <n v="188"/>
    <s v="Northwest"/>
    <x v="6"/>
  </r>
  <r>
    <n v="73"/>
    <s v="Whatcom County"/>
    <x v="17"/>
    <n v="3604"/>
    <n v="1548"/>
    <n v="2056"/>
    <n v="1511"/>
    <n v="1988"/>
    <n v="105"/>
    <s v="Northwest"/>
    <x v="6"/>
  </r>
  <r>
    <n v="73"/>
    <s v="Whatcom County"/>
    <x v="18"/>
    <n v="3516"/>
    <n v="1220"/>
    <n v="2296"/>
    <n v="1175"/>
    <n v="2238"/>
    <n v="103"/>
    <s v="Northwest"/>
    <x v="6"/>
  </r>
  <r>
    <n v="75"/>
    <s v="Whitman County"/>
    <x v="0"/>
    <n v="42689"/>
    <n v="21621"/>
    <n v="21068"/>
    <n v="18636"/>
    <n v="18303"/>
    <n v="5750"/>
    <s v="Eastern"/>
    <x v="1"/>
  </r>
  <r>
    <n v="75"/>
    <s v="Whitman County"/>
    <x v="1"/>
    <n v="2031"/>
    <n v="1060"/>
    <n v="971"/>
    <n v="856"/>
    <n v="774"/>
    <n v="401"/>
    <s v="Eastern"/>
    <x v="1"/>
  </r>
  <r>
    <n v="75"/>
    <s v="Whitman County"/>
    <x v="2"/>
    <n v="1809"/>
    <n v="872"/>
    <n v="937"/>
    <n v="732"/>
    <n v="756"/>
    <n v="321"/>
    <s v="Eastern"/>
    <x v="1"/>
  </r>
  <r>
    <n v="75"/>
    <s v="Whitman County"/>
    <x v="3"/>
    <n v="1613"/>
    <n v="833"/>
    <n v="780"/>
    <n v="711"/>
    <n v="648"/>
    <n v="254"/>
    <s v="Eastern"/>
    <x v="1"/>
  </r>
  <r>
    <n v="75"/>
    <s v="Whitman County"/>
    <x v="4"/>
    <n v="4972"/>
    <n v="2345"/>
    <n v="2627"/>
    <n v="2057"/>
    <n v="2326"/>
    <n v="589"/>
    <s v="Eastern"/>
    <x v="1"/>
  </r>
  <r>
    <n v="75"/>
    <s v="Whitman County"/>
    <x v="5"/>
    <n v="13221"/>
    <n v="7021"/>
    <n v="6200"/>
    <n v="6124"/>
    <n v="5309"/>
    <n v="1788"/>
    <s v="Eastern"/>
    <x v="1"/>
  </r>
  <r>
    <n v="75"/>
    <s v="Whitman County"/>
    <x v="6"/>
    <n v="3242"/>
    <n v="1684"/>
    <n v="1558"/>
    <n v="1368"/>
    <n v="1322"/>
    <n v="552"/>
    <s v="Eastern"/>
    <x v="1"/>
  </r>
  <r>
    <n v="75"/>
    <s v="Whitman County"/>
    <x v="7"/>
    <n v="1131"/>
    <n v="626"/>
    <n v="505"/>
    <n v="390"/>
    <n v="379"/>
    <n v="362"/>
    <s v="Eastern"/>
    <x v="1"/>
  </r>
  <r>
    <n v="75"/>
    <s v="Whitman County"/>
    <x v="8"/>
    <n v="1826"/>
    <n v="1010"/>
    <n v="816"/>
    <n v="765"/>
    <n v="642"/>
    <n v="419"/>
    <s v="Eastern"/>
    <x v="1"/>
  </r>
  <r>
    <n v="75"/>
    <s v="Whitman County"/>
    <x v="9"/>
    <n v="1802"/>
    <n v="863"/>
    <n v="939"/>
    <n v="687"/>
    <n v="797"/>
    <n v="318"/>
    <s v="Eastern"/>
    <x v="1"/>
  </r>
  <r>
    <n v="75"/>
    <s v="Whitman County"/>
    <x v="10"/>
    <n v="1908"/>
    <n v="924"/>
    <n v="984"/>
    <n v="808"/>
    <n v="874"/>
    <n v="226"/>
    <s v="Eastern"/>
    <x v="1"/>
  </r>
  <r>
    <n v="75"/>
    <s v="Whitman County"/>
    <x v="11"/>
    <n v="1926"/>
    <n v="940"/>
    <n v="986"/>
    <n v="856"/>
    <n v="912"/>
    <n v="158"/>
    <s v="Eastern"/>
    <x v="1"/>
  </r>
  <r>
    <n v="75"/>
    <s v="Whitman County"/>
    <x v="12"/>
    <n v="1780"/>
    <n v="934"/>
    <n v="846"/>
    <n v="880"/>
    <n v="777"/>
    <n v="123"/>
    <s v="Eastern"/>
    <x v="1"/>
  </r>
  <r>
    <n v="75"/>
    <s v="Whitman County"/>
    <x v="13"/>
    <n v="1408"/>
    <n v="686"/>
    <n v="722"/>
    <n v="651"/>
    <n v="684"/>
    <n v="73"/>
    <s v="Eastern"/>
    <x v="1"/>
  </r>
  <r>
    <n v="75"/>
    <s v="Whitman County"/>
    <x v="14"/>
    <n v="1086"/>
    <n v="518"/>
    <n v="568"/>
    <n v="491"/>
    <n v="541"/>
    <n v="54"/>
    <s v="Eastern"/>
    <x v="1"/>
  </r>
  <r>
    <n v="75"/>
    <s v="Whitman County"/>
    <x v="15"/>
    <n v="866"/>
    <n v="423"/>
    <n v="443"/>
    <n v="396"/>
    <n v="424"/>
    <n v="46"/>
    <s v="Eastern"/>
    <x v="1"/>
  </r>
  <r>
    <n v="75"/>
    <s v="Whitman County"/>
    <x v="16"/>
    <n v="748"/>
    <n v="342"/>
    <n v="406"/>
    <n v="332"/>
    <n v="377"/>
    <n v="39"/>
    <s v="Eastern"/>
    <x v="1"/>
  </r>
  <r>
    <n v="75"/>
    <s v="Whitman County"/>
    <x v="17"/>
    <n v="622"/>
    <n v="291"/>
    <n v="331"/>
    <n v="285"/>
    <n v="323"/>
    <n v="14"/>
    <s v="Eastern"/>
    <x v="1"/>
  </r>
  <r>
    <n v="75"/>
    <s v="Whitman County"/>
    <x v="18"/>
    <n v="698"/>
    <n v="249"/>
    <n v="449"/>
    <n v="247"/>
    <n v="438"/>
    <n v="13"/>
    <s v="Eastern"/>
    <x v="1"/>
  </r>
  <r>
    <n v="77"/>
    <s v="Yakima County"/>
    <x v="0"/>
    <n v="239054"/>
    <n v="119737"/>
    <n v="119317"/>
    <n v="107229"/>
    <n v="106499"/>
    <n v="25326"/>
    <s v="South Central"/>
    <x v="8"/>
  </r>
  <r>
    <n v="77"/>
    <s v="Yakima County"/>
    <x v="1"/>
    <n v="22532"/>
    <n v="11530"/>
    <n v="11002"/>
    <n v="9414"/>
    <n v="9009"/>
    <n v="4109"/>
    <s v="South Central"/>
    <x v="8"/>
  </r>
  <r>
    <n v="77"/>
    <s v="Yakima County"/>
    <x v="2"/>
    <n v="21073"/>
    <n v="10785"/>
    <n v="10288"/>
    <n v="9144"/>
    <n v="8645"/>
    <n v="3284"/>
    <s v="South Central"/>
    <x v="8"/>
  </r>
  <r>
    <n v="77"/>
    <s v="Yakima County"/>
    <x v="3"/>
    <n v="18795"/>
    <n v="9570"/>
    <n v="9225"/>
    <n v="8546"/>
    <n v="8258"/>
    <n v="1991"/>
    <s v="South Central"/>
    <x v="8"/>
  </r>
  <r>
    <n v="77"/>
    <s v="Yakima County"/>
    <x v="4"/>
    <n v="19306"/>
    <n v="10111"/>
    <n v="9195"/>
    <n v="9052"/>
    <n v="8160"/>
    <n v="2094"/>
    <s v="South Central"/>
    <x v="8"/>
  </r>
  <r>
    <n v="77"/>
    <s v="Yakima County"/>
    <x v="5"/>
    <n v="16001"/>
    <n v="8375"/>
    <n v="7626"/>
    <n v="7435"/>
    <n v="6775"/>
    <n v="1791"/>
    <s v="South Central"/>
    <x v="8"/>
  </r>
  <r>
    <n v="77"/>
    <s v="Yakima County"/>
    <x v="6"/>
    <n v="16238"/>
    <n v="8508"/>
    <n v="7730"/>
    <n v="7636"/>
    <n v="6886"/>
    <n v="1716"/>
    <s v="South Central"/>
    <x v="8"/>
  </r>
  <r>
    <n v="77"/>
    <s v="Yakima County"/>
    <x v="7"/>
    <n v="14178"/>
    <n v="7254"/>
    <n v="6924"/>
    <n v="6579"/>
    <n v="6249"/>
    <n v="1350"/>
    <s v="South Central"/>
    <x v="8"/>
  </r>
  <r>
    <n v="77"/>
    <s v="Yakima County"/>
    <x v="8"/>
    <n v="14351"/>
    <n v="7277"/>
    <n v="7074"/>
    <n v="6663"/>
    <n v="6422"/>
    <n v="1266"/>
    <s v="South Central"/>
    <x v="8"/>
  </r>
  <r>
    <n v="77"/>
    <s v="Yakima County"/>
    <x v="9"/>
    <n v="13991"/>
    <n v="7065"/>
    <n v="6926"/>
    <n v="6424"/>
    <n v="6225"/>
    <n v="1342"/>
    <s v="South Central"/>
    <x v="8"/>
  </r>
  <r>
    <n v="77"/>
    <s v="Yakima County"/>
    <x v="10"/>
    <n v="15309"/>
    <n v="7731"/>
    <n v="7578"/>
    <n v="7014"/>
    <n v="6820"/>
    <n v="1475"/>
    <s v="South Central"/>
    <x v="8"/>
  </r>
  <r>
    <n v="77"/>
    <s v="Yakima County"/>
    <x v="11"/>
    <n v="14792"/>
    <n v="7301"/>
    <n v="7491"/>
    <n v="6683"/>
    <n v="6722"/>
    <n v="1387"/>
    <s v="South Central"/>
    <x v="8"/>
  </r>
  <r>
    <n v="77"/>
    <s v="Yakima County"/>
    <x v="12"/>
    <n v="13425"/>
    <n v="6568"/>
    <n v="6857"/>
    <n v="6066"/>
    <n v="6272"/>
    <n v="1087"/>
    <s v="South Central"/>
    <x v="8"/>
  </r>
  <r>
    <n v="77"/>
    <s v="Yakima County"/>
    <x v="13"/>
    <n v="11036"/>
    <n v="5446"/>
    <n v="5590"/>
    <n v="5064"/>
    <n v="5212"/>
    <n v="760"/>
    <s v="South Central"/>
    <x v="8"/>
  </r>
  <r>
    <n v="77"/>
    <s v="Yakima County"/>
    <x v="14"/>
    <n v="8393"/>
    <n v="4119"/>
    <n v="4274"/>
    <n v="3857"/>
    <n v="3978"/>
    <n v="558"/>
    <s v="South Central"/>
    <x v="8"/>
  </r>
  <r>
    <n v="77"/>
    <s v="Yakima County"/>
    <x v="15"/>
    <n v="6381"/>
    <n v="2945"/>
    <n v="3436"/>
    <n v="2750"/>
    <n v="3179"/>
    <n v="452"/>
    <s v="South Central"/>
    <x v="8"/>
  </r>
  <r>
    <n v="77"/>
    <s v="Yakima County"/>
    <x v="16"/>
    <n v="5069"/>
    <n v="2184"/>
    <n v="2885"/>
    <n v="2064"/>
    <n v="2697"/>
    <n v="308"/>
    <s v="South Central"/>
    <x v="8"/>
  </r>
  <r>
    <n v="77"/>
    <s v="Yakima County"/>
    <x v="17"/>
    <n v="4013"/>
    <n v="1632"/>
    <n v="2381"/>
    <n v="1557"/>
    <n v="2247"/>
    <n v="209"/>
    <s v="South Central"/>
    <x v="8"/>
  </r>
  <r>
    <n v="77"/>
    <s v="Yakima County"/>
    <x v="18"/>
    <n v="4171"/>
    <n v="1336"/>
    <n v="2835"/>
    <n v="1281"/>
    <n v="2743"/>
    <n v="147"/>
    <s v="South Central"/>
    <x v="8"/>
  </r>
</pivotCacheRecords>
</file>

<file path=xl/pivotCache/pivotCacheRecords2.xml><?xml version="1.0" encoding="utf-8"?>
<pivotCacheRecords xmlns="http://schemas.openxmlformats.org/spreadsheetml/2006/main" xmlns:r="http://schemas.openxmlformats.org/officeDocument/2006/relationships" count="1">
  <r>
    <x v="0"/>
    <x v="0"/>
    <x v="0"/>
    <x v="0"/>
    <x v="0"/>
    <x v="0"/>
    <x v="0"/>
    <x v="0"/>
    <x v="0"/>
    <x v="0"/>
    <x v="0"/>
    <x v="0"/>
  </r>
</pivotCacheRecords>
</file>

<file path=xl/pivotCache/pivotCacheRecords3.xml><?xml version="1.0" encoding="utf-8"?>
<pivotCacheRecords xmlns="http://schemas.openxmlformats.org/spreadsheetml/2006/main" xmlns:r="http://schemas.openxmlformats.org/officeDocument/2006/relationships" count="1">
  <r>
    <x v="0"/>
    <x v="0"/>
    <x v="0"/>
    <x v="0"/>
    <x v="0"/>
    <x v="0"/>
    <x v="0"/>
    <x v="0"/>
    <x v="0"/>
    <x v="0"/>
    <x v="0"/>
    <x v="0"/>
  </r>
</pivotCacheRecords>
</file>

<file path=xl/pivotCache/pivotCacheRecords4.xml><?xml version="1.0" encoding="utf-8"?>
<pivotCacheRecords xmlns="http://schemas.openxmlformats.org/spreadsheetml/2006/main" xmlns:r="http://schemas.openxmlformats.org/officeDocument/2006/relationships" count="12">
  <r>
    <x v="0"/>
    <x v="0"/>
    <x v="0"/>
    <x v="0"/>
    <x v="0"/>
    <x v="0"/>
  </r>
  <r>
    <x v="1"/>
    <x v="1"/>
    <x v="1"/>
    <x v="1"/>
    <x v="1"/>
    <x v="1"/>
  </r>
  <r>
    <x v="2"/>
    <x v="2"/>
    <x v="2"/>
    <x v="2"/>
    <x v="2"/>
    <x v="2"/>
  </r>
  <r>
    <x v="3"/>
    <x v="3"/>
    <x v="3"/>
    <x v="3"/>
    <x v="3"/>
    <x v="3"/>
  </r>
  <r>
    <x v="4"/>
    <x v="4"/>
    <x v="4"/>
    <x v="4"/>
    <x v="4"/>
    <x v="4"/>
  </r>
  <r>
    <x v="5"/>
    <x v="5"/>
    <x v="5"/>
    <x v="5"/>
    <x v="5"/>
    <x v="5"/>
  </r>
  <r>
    <x v="6"/>
    <x v="6"/>
    <x v="6"/>
    <x v="6"/>
    <x v="6"/>
    <x v="6"/>
  </r>
  <r>
    <x v="7"/>
    <x v="7"/>
    <x v="7"/>
    <x v="7"/>
    <x v="7"/>
    <x v="7"/>
  </r>
  <r>
    <x v="8"/>
    <x v="8"/>
    <x v="8"/>
    <x v="8"/>
    <x v="8"/>
    <x v="8"/>
  </r>
  <r>
    <x v="9"/>
    <x v="9"/>
    <x v="9"/>
    <x v="9"/>
    <x v="9"/>
    <x v="9"/>
  </r>
  <r>
    <x v="10"/>
    <x v="10"/>
    <x v="10"/>
    <x v="10"/>
    <x v="10"/>
    <x v="10"/>
  </r>
  <r>
    <x v="11"/>
    <x v="11"/>
    <x v="11"/>
    <x v="11"/>
    <x v="11"/>
    <x v="11"/>
  </r>
</pivotCacheRecords>
</file>

<file path=xl/pivotCache/pivotCacheRecords5.xml><?xml version="1.0" encoding="utf-8"?>
<pivotCacheRecords xmlns="http://schemas.openxmlformats.org/spreadsheetml/2006/main" xmlns:r="http://schemas.openxmlformats.org/officeDocument/2006/relationships" count="13">
  <r>
    <x v="0"/>
    <x v="0"/>
    <x v="0"/>
    <x v="0"/>
    <x v="0"/>
    <x v="0"/>
  </r>
  <r>
    <x v="1"/>
    <x v="1"/>
    <x v="1"/>
    <x v="1"/>
    <x v="1"/>
    <x v="1"/>
  </r>
  <r>
    <x v="2"/>
    <x v="2"/>
    <x v="2"/>
    <x v="2"/>
    <x v="2"/>
    <x v="2"/>
  </r>
  <r>
    <x v="3"/>
    <x v="3"/>
    <x v="3"/>
    <x v="3"/>
    <x v="3"/>
    <x v="3"/>
  </r>
  <r>
    <x v="4"/>
    <x v="4"/>
    <x v="4"/>
    <x v="4"/>
    <x v="4"/>
    <x v="4"/>
  </r>
  <r>
    <x v="5"/>
    <x v="5"/>
    <x v="5"/>
    <x v="5"/>
    <x v="5"/>
    <x v="5"/>
  </r>
  <r>
    <x v="6"/>
    <x v="6"/>
    <x v="6"/>
    <x v="6"/>
    <x v="6"/>
    <x v="6"/>
  </r>
  <r>
    <x v="7"/>
    <x v="7"/>
    <x v="7"/>
    <x v="7"/>
    <x v="7"/>
    <x v="7"/>
  </r>
  <r>
    <x v="8"/>
    <x v="8"/>
    <x v="8"/>
    <x v="8"/>
    <x v="8"/>
    <x v="8"/>
  </r>
  <r>
    <x v="9"/>
    <x v="9"/>
    <x v="9"/>
    <x v="9"/>
    <x v="9"/>
    <x v="9"/>
  </r>
  <r>
    <x v="10"/>
    <x v="10"/>
    <x v="10"/>
    <x v="10"/>
    <x v="10"/>
    <x v="10"/>
  </r>
  <r>
    <x v="11"/>
    <x v="11"/>
    <x v="11"/>
    <x v="11"/>
    <x v="11"/>
    <x v="11"/>
  </r>
  <r>
    <x v="12"/>
    <x v="12"/>
    <x v="12"/>
    <x v="12"/>
    <x v="12"/>
    <x v="11"/>
  </r>
</pivotCacheRecords>
</file>

<file path=xl/pivotCache/pivotCacheRecords6.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1"/>
  </r>
</pivotCacheRecords>
</file>

<file path=xl/pivotCache/pivotCacheRecords7.xml><?xml version="1.0" encoding="utf-8"?>
<pivotCacheRecords xmlns="http://schemas.openxmlformats.org/spreadsheetml/2006/main" xmlns:r="http://schemas.openxmlformats.org/officeDocument/2006/relationships" count="13">
  <r>
    <x v="0"/>
    <x v="0"/>
    <x v="0"/>
    <x v="0"/>
  </r>
  <r>
    <x v="1"/>
    <x v="1"/>
    <x v="1"/>
    <x v="1"/>
  </r>
  <r>
    <x v="2"/>
    <x v="2"/>
    <x v="2"/>
    <x v="2"/>
  </r>
  <r>
    <x v="3"/>
    <x v="3"/>
    <x v="3"/>
    <x v="3"/>
  </r>
  <r>
    <x v="4"/>
    <x v="4"/>
    <x v="4"/>
    <x v="4"/>
  </r>
  <r>
    <x v="5"/>
    <x v="5"/>
    <x v="5"/>
    <x v="5"/>
  </r>
  <r>
    <x v="6"/>
    <x v="6"/>
    <x v="6"/>
    <x v="6"/>
  </r>
  <r>
    <x v="7"/>
    <x v="7"/>
    <x v="7"/>
    <x v="7"/>
  </r>
  <r>
    <x v="8"/>
    <x v="8"/>
    <x v="8"/>
    <x v="8"/>
  </r>
  <r>
    <x v="9"/>
    <x v="9"/>
    <x v="9"/>
    <x v="9"/>
  </r>
  <r>
    <x v="10"/>
    <x v="10"/>
    <x v="10"/>
    <x v="10"/>
  </r>
  <r>
    <x v="11"/>
    <x v="11"/>
    <x v="11"/>
    <x v="11"/>
  </r>
  <r>
    <x v="12"/>
    <x v="12"/>
    <x v="12"/>
    <x v="12"/>
  </r>
</pivotCacheRecords>
</file>

<file path=xl/pivotCache/pivotCacheRecords8.xml><?xml version="1.0" encoding="utf-8"?>
<pivotCacheRecords xmlns="http://schemas.openxmlformats.org/spreadsheetml/2006/main" xmlns:r="http://schemas.openxmlformats.org/officeDocument/2006/relationships" count="1">
  <r>
    <x v="0"/>
    <x v="0"/>
    <x v="0"/>
    <x v="0"/>
    <x v="0"/>
  </r>
</pivotCacheRecords>
</file>

<file path=xl/pivotCache/pivotCacheRecords9.xml><?xml version="1.0" encoding="utf-8"?>
<pivotCacheRecords xmlns="http://schemas.openxmlformats.org/spreadsheetml/2006/main" xmlns:r="http://schemas.openxmlformats.org/officeDocument/2006/relationships" count="1">
  <r>
    <x v="0"/>
    <x v="0"/>
    <x v="0"/>
    <x v="0"/>
    <x v="0"/>
  </r>
</pivotCacheRecords>
</file>

<file path=xl/pivotCache/pivotCacheRecords10.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11.xml><?xml version="1.0" encoding="utf-8"?>
<pivotCacheRecords xmlns="http://schemas.openxmlformats.org/spreadsheetml/2006/main" xmlns:r="http://schemas.openxmlformats.org/officeDocument/2006/relationships" count="1">
  <r>
    <x v="0"/>
    <x v="0"/>
    <x v="0"/>
    <x v="0"/>
  </r>
</pivotCacheRecords>
</file>

<file path=xl/pivotCache/pivotCacheRecords12.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8"/>
    <x v="11"/>
    <x v="11"/>
  </r>
</pivotCacheRecords>
</file>

<file path=xl/pivotCache/pivotCacheRecords13.xml><?xml version="1.0" encoding="utf-8"?>
<pivotCacheRecords xmlns="http://schemas.openxmlformats.org/spreadsheetml/2006/main" xmlns:r="http://schemas.openxmlformats.org/officeDocument/2006/relationships" count="12">
  <r>
    <x v="0"/>
    <x v="0"/>
    <x v="0"/>
    <x v="0"/>
    <x v="0"/>
  </r>
  <r>
    <x v="1"/>
    <x v="1"/>
    <x v="1"/>
    <x v="1"/>
    <x v="1"/>
  </r>
  <r>
    <x v="2"/>
    <x v="2"/>
    <x v="2"/>
    <x v="2"/>
    <x v="2"/>
  </r>
  <r>
    <x v="3"/>
    <x v="3"/>
    <x v="3"/>
    <x v="3"/>
    <x v="3"/>
  </r>
  <r>
    <x v="4"/>
    <x v="4"/>
    <x v="4"/>
    <x v="4"/>
    <x v="4"/>
  </r>
  <r>
    <x v="5"/>
    <x v="5"/>
    <x v="5"/>
    <x v="5"/>
    <x v="5"/>
  </r>
  <r>
    <x v="6"/>
    <x v="6"/>
    <x v="6"/>
    <x v="6"/>
    <x v="6"/>
  </r>
  <r>
    <x v="7"/>
    <x v="7"/>
    <x v="7"/>
    <x v="7"/>
    <x v="7"/>
  </r>
  <r>
    <x v="8"/>
    <x v="8"/>
    <x v="3"/>
    <x v="8"/>
    <x v="8"/>
  </r>
  <r>
    <x v="9"/>
    <x v="9"/>
    <x v="8"/>
    <x v="9"/>
    <x v="9"/>
  </r>
  <r>
    <x v="10"/>
    <x v="10"/>
    <x v="9"/>
    <x v="10"/>
    <x v="10"/>
  </r>
  <r>
    <x v="11"/>
    <x v="11"/>
    <x v="10"/>
    <x v="11"/>
    <x v="11"/>
  </r>
</pivotCacheRecords>
</file>

<file path=xl/pivotCache/pivotCacheRecords14.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1"/>
  </r>
</pivotCacheRecords>
</file>

<file path=xl/pivotCache/pivotCacheRecords15.xml><?xml version="1.0" encoding="utf-8"?>
<pivotCacheRecords xmlns="http://schemas.openxmlformats.org/spreadsheetml/2006/main" xmlns:r="http://schemas.openxmlformats.org/officeDocument/2006/relationships" count="13">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5"/>
    <x v="5"/>
    <x v="5"/>
  </r>
  <r>
    <x v="6"/>
    <x v="6"/>
    <x v="6"/>
    <x v="6"/>
    <x v="6"/>
    <x v="6"/>
    <x v="6"/>
    <x v="6"/>
    <x v="6"/>
  </r>
  <r>
    <x v="7"/>
    <x v="7"/>
    <x v="7"/>
    <x v="7"/>
    <x v="7"/>
    <x v="7"/>
    <x v="7"/>
    <x v="7"/>
    <x v="7"/>
  </r>
  <r>
    <x v="8"/>
    <x v="8"/>
    <x v="8"/>
    <x v="8"/>
    <x v="8"/>
    <x v="8"/>
    <x v="8"/>
    <x v="8"/>
    <x v="8"/>
  </r>
  <r>
    <x v="9"/>
    <x v="9"/>
    <x v="9"/>
    <x v="9"/>
    <x v="9"/>
    <x v="9"/>
    <x v="9"/>
    <x v="9"/>
    <x v="9"/>
  </r>
  <r>
    <x v="10"/>
    <x v="10"/>
    <x v="10"/>
    <x v="10"/>
    <x v="10"/>
    <x v="10"/>
    <x v="10"/>
    <x v="10"/>
    <x v="10"/>
  </r>
  <r>
    <x v="11"/>
    <x v="11"/>
    <x v="11"/>
    <x v="11"/>
    <x v="11"/>
    <x v="11"/>
    <x v="11"/>
    <x v="11"/>
    <x v="11"/>
  </r>
  <r>
    <x v="12"/>
    <x v="12"/>
    <x v="12"/>
    <x v="12"/>
    <x v="12"/>
    <x v="12"/>
    <x v="12"/>
    <x v="12"/>
    <x v="12"/>
  </r>
</pivotCacheRecords>
</file>

<file path=xl/pivotCache/pivotCacheRecords16.xml><?xml version="1.0" encoding="utf-8"?>
<pivotCacheRecords xmlns="http://schemas.openxmlformats.org/spreadsheetml/2006/main" xmlns:r="http://schemas.openxmlformats.org/officeDocument/2006/relationships" count="12">
  <r>
    <x v="0"/>
    <x v="0"/>
    <x v="0"/>
    <x v="0"/>
    <x v="0"/>
    <x v="0"/>
    <x v="0"/>
    <x v="0"/>
    <x v="0"/>
  </r>
  <r>
    <x v="1"/>
    <x v="1"/>
    <x v="1"/>
    <x v="1"/>
    <x v="1"/>
    <x v="1"/>
    <x v="1"/>
    <x v="1"/>
    <x v="1"/>
  </r>
  <r>
    <x v="2"/>
    <x v="2"/>
    <x v="2"/>
    <x v="2"/>
    <x v="2"/>
    <x v="2"/>
    <x v="2"/>
    <x v="2"/>
    <x v="2"/>
  </r>
  <r>
    <x v="3"/>
    <x v="3"/>
    <x v="3"/>
    <x v="3"/>
    <x v="3"/>
    <x v="3"/>
    <x v="3"/>
    <x v="3"/>
    <x v="3"/>
  </r>
  <r>
    <x v="4"/>
    <x v="4"/>
    <x v="4"/>
    <x v="4"/>
    <x v="4"/>
    <x v="4"/>
    <x v="4"/>
    <x v="4"/>
    <x v="4"/>
  </r>
  <r>
    <x v="5"/>
    <x v="5"/>
    <x v="5"/>
    <x v="5"/>
    <x v="5"/>
    <x v="5"/>
    <x v="1"/>
    <x v="5"/>
    <x v="5"/>
  </r>
  <r>
    <x v="6"/>
    <x v="6"/>
    <x v="6"/>
    <x v="6"/>
    <x v="6"/>
    <x v="6"/>
    <x v="5"/>
    <x v="6"/>
    <x v="6"/>
  </r>
  <r>
    <x v="7"/>
    <x v="7"/>
    <x v="7"/>
    <x v="7"/>
    <x v="7"/>
    <x v="7"/>
    <x v="6"/>
    <x v="7"/>
    <x v="7"/>
  </r>
  <r>
    <x v="8"/>
    <x v="8"/>
    <x v="8"/>
    <x v="8"/>
    <x v="8"/>
    <x v="8"/>
    <x v="7"/>
    <x v="8"/>
    <x v="8"/>
  </r>
  <r>
    <x v="9"/>
    <x v="9"/>
    <x v="9"/>
    <x v="9"/>
    <x v="9"/>
    <x v="9"/>
    <x v="8"/>
    <x v="9"/>
    <x v="9"/>
  </r>
  <r>
    <x v="10"/>
    <x v="10"/>
    <x v="10"/>
    <x v="10"/>
    <x v="10"/>
    <x v="10"/>
    <x v="9"/>
    <x v="10"/>
    <x v="10"/>
  </r>
  <r>
    <x v="11"/>
    <x v="11"/>
    <x v="11"/>
    <x v="11"/>
    <x v="11"/>
    <x v="4"/>
    <x v="2"/>
    <x v="11"/>
    <x v="11"/>
  </r>
</pivotCacheRecords>
</file>

<file path=xl/pivotCache/pivotCacheRecords17.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18.xml><?xml version="1.0" encoding="utf-8"?>
<pivotCacheRecords xmlns="http://schemas.openxmlformats.org/spreadsheetml/2006/main" xmlns:r="http://schemas.openxmlformats.org/officeDocument/2006/relationships" count="143">
  <r>
    <x v="0"/>
    <s v="2009 Q1"/>
    <x v="0"/>
    <n v="170807"/>
    <n v="156787"/>
    <n v="14020"/>
    <n v="8.1999999999999993"/>
    <n v="8.2080945160327157E-2"/>
  </r>
  <r>
    <x v="1"/>
    <s v="2009 Q1"/>
    <x v="0"/>
    <n v="232750"/>
    <n v="209623"/>
    <n v="23127"/>
    <n v="9.9"/>
    <n v="9.9364124597207309E-2"/>
  </r>
  <r>
    <x v="2"/>
    <s v="2009 Q1"/>
    <x v="0"/>
    <n v="209373"/>
    <n v="191343"/>
    <n v="18030"/>
    <n v="8.6"/>
    <n v="8.6114255419753261E-2"/>
  </r>
  <r>
    <x v="3"/>
    <s v="2009 Q1"/>
    <x v="0"/>
    <n v="382303"/>
    <n v="346400"/>
    <n v="35903"/>
    <n v="9.4"/>
    <n v="9.3912420253045359E-2"/>
  </r>
  <r>
    <x v="4"/>
    <s v="2009 Q1"/>
    <x v="0"/>
    <n v="1110973"/>
    <n v="1025813"/>
    <n v="85160"/>
    <n v="7.7"/>
    <n v="7.6653528033534563E-2"/>
  </r>
  <r>
    <x v="5"/>
    <s v="2009 Q1"/>
    <x v="0"/>
    <n v="403637"/>
    <n v="366237"/>
    <n v="37400"/>
    <n v="9.3000000000000007"/>
    <n v="9.2657511575995263E-2"/>
  </r>
  <r>
    <x v="6"/>
    <s v="2009 Q1"/>
    <x v="0"/>
    <n v="269310"/>
    <n v="234967"/>
    <n v="34343"/>
    <n v="12.8"/>
    <n v="0.12752218632802348"/>
  </r>
  <r>
    <x v="7"/>
    <s v="2009 Q1"/>
    <x v="0"/>
    <n v="127470"/>
    <n v="113897"/>
    <n v="13573"/>
    <n v="10.6"/>
    <n v="0.10647995606809445"/>
  </r>
  <r>
    <x v="8"/>
    <s v="2009 Q1"/>
    <x v="0"/>
    <n v="157097"/>
    <n v="140877"/>
    <n v="16220"/>
    <n v="10.3"/>
    <n v="0.10324831155273494"/>
  </r>
  <r>
    <x v="9"/>
    <s v="2009 Q1"/>
    <x v="0"/>
    <n v="98783"/>
    <n v="89223"/>
    <n v="9560"/>
    <n v="9.6999999999999993"/>
    <n v="9.6777785651377263E-2"/>
  </r>
  <r>
    <x v="10"/>
    <s v="2009 Q1"/>
    <x v="0"/>
    <n v="125097"/>
    <n v="114490"/>
    <n v="10607"/>
    <n v="8.5"/>
    <n v="8.479020280262517E-2"/>
  </r>
  <r>
    <x v="11"/>
    <s v="2009 Q1"/>
    <x v="0"/>
    <n v="244630"/>
    <n v="221210"/>
    <n v="23420"/>
    <n v="9.6"/>
    <n v="9.5736418264317544E-2"/>
  </r>
  <r>
    <x v="12"/>
    <s v="2009 Q1"/>
    <x v="0"/>
    <n v="3532173"/>
    <n v="3210827"/>
    <n v="321347"/>
    <n v="9.0966094727243221E-2"/>
    <n v="9.0977140700639517E-2"/>
  </r>
  <r>
    <x v="0"/>
    <s v="2009 Q2"/>
    <x v="1"/>
    <n v="168997"/>
    <n v="154870"/>
    <n v="14127"/>
    <n v="8.4"/>
    <n v="8.3593199879287802E-2"/>
  </r>
  <r>
    <x v="1"/>
    <s v="2009 Q2"/>
    <x v="1"/>
    <n v="230537"/>
    <n v="207590"/>
    <n v="22947"/>
    <n v="10"/>
    <n v="9.9537167569630908E-2"/>
  </r>
  <r>
    <x v="2"/>
    <s v="2009 Q2"/>
    <x v="1"/>
    <n v="208673"/>
    <n v="190067"/>
    <n v="18607"/>
    <n v="8.9"/>
    <n v="8.9168220133893694E-2"/>
  </r>
  <r>
    <x v="3"/>
    <s v="2009 Q2"/>
    <x v="1"/>
    <n v="384130"/>
    <n v="346650"/>
    <n v="37480"/>
    <n v="9.8000000000000007"/>
    <n v="9.7571134772082374E-2"/>
  </r>
  <r>
    <x v="4"/>
    <s v="2009 Q2"/>
    <x v="1"/>
    <n v="1120810"/>
    <n v="1026563"/>
    <n v="94247"/>
    <n v="8.4"/>
    <n v="8.4088293287890012E-2"/>
  </r>
  <r>
    <x v="5"/>
    <s v="2009 Q2"/>
    <x v="1"/>
    <n v="397743"/>
    <n v="358583"/>
    <n v="39160"/>
    <n v="9.8000000000000007"/>
    <n v="9.8455535358258975E-2"/>
  </r>
  <r>
    <x v="6"/>
    <s v="2009 Q2"/>
    <x v="1"/>
    <n v="263667"/>
    <n v="229433"/>
    <n v="34233"/>
    <n v="13"/>
    <n v="0.12983422271273992"/>
  </r>
  <r>
    <x v="7"/>
    <s v="2009 Q2"/>
    <x v="1"/>
    <n v="134187"/>
    <n v="122667"/>
    <n v="11520"/>
    <n v="8.6"/>
    <n v="8.5850343177804114E-2"/>
  </r>
  <r>
    <x v="8"/>
    <s v="2009 Q2"/>
    <x v="1"/>
    <n v="161897"/>
    <n v="147397"/>
    <n v="14500"/>
    <n v="9"/>
    <n v="8.9563117290623051E-2"/>
  </r>
  <r>
    <x v="9"/>
    <s v="2009 Q2"/>
    <x v="1"/>
    <n v="99213"/>
    <n v="90610"/>
    <n v="8603"/>
    <n v="8.6999999999999993"/>
    <n v="8.6712426798907408E-2"/>
  </r>
  <r>
    <x v="10"/>
    <s v="2009 Q2"/>
    <x v="1"/>
    <n v="129930"/>
    <n v="120613"/>
    <n v="9317"/>
    <n v="7.2"/>
    <n v="7.1707842684522433E-2"/>
  </r>
  <r>
    <x v="11"/>
    <s v="2009 Q2"/>
    <x v="1"/>
    <n v="240093"/>
    <n v="218500"/>
    <n v="21593"/>
    <n v="9"/>
    <n v="8.9935983139866629E-2"/>
  </r>
  <r>
    <x v="12"/>
    <s v="2009 Q2"/>
    <x v="1"/>
    <n v="3539823"/>
    <n v="3213507"/>
    <n v="326317"/>
    <n v="9.3344430795569588E-2"/>
    <n v="9.2184552730461389E-2"/>
  </r>
  <r>
    <x v="0"/>
    <s v="2009 Q3"/>
    <x v="2"/>
    <n v="167483"/>
    <n v="153820"/>
    <n v="13663"/>
    <n v="8.1999999999999993"/>
    <n v="8.1578428855465929E-2"/>
  </r>
  <r>
    <x v="1"/>
    <s v="2009 Q3"/>
    <x v="2"/>
    <n v="226713"/>
    <n v="204843"/>
    <n v="21870"/>
    <n v="9.6"/>
    <n v="9.646557541914226E-2"/>
  </r>
  <r>
    <x v="2"/>
    <s v="2009 Q3"/>
    <x v="2"/>
    <n v="207490"/>
    <n v="188797"/>
    <n v="18693"/>
    <n v="9"/>
    <n v="9.0091088727167576E-2"/>
  </r>
  <r>
    <x v="3"/>
    <s v="2009 Q3"/>
    <x v="2"/>
    <n v="383680"/>
    <n v="345043"/>
    <n v="38637"/>
    <n v="10.1"/>
    <n v="0.10070110508757298"/>
  </r>
  <r>
    <x v="4"/>
    <s v="2009 Q3"/>
    <x v="2"/>
    <n v="1120347"/>
    <n v="1021793"/>
    <n v="98553"/>
    <n v="8.8000000000000007"/>
    <n v="8.7966496094513569E-2"/>
  </r>
  <r>
    <x v="5"/>
    <s v="2009 Q3"/>
    <x v="2"/>
    <n v="391133"/>
    <n v="352607"/>
    <n v="38527"/>
    <n v="9.9"/>
    <n v="9.8501021391700527E-2"/>
  </r>
  <r>
    <x v="6"/>
    <s v="2009 Q3"/>
    <x v="2"/>
    <n v="262243"/>
    <n v="226627"/>
    <n v="35617"/>
    <n v="13.6"/>
    <n v="0.13581678061950175"/>
  </r>
  <r>
    <x v="7"/>
    <s v="2009 Q3"/>
    <x v="2"/>
    <n v="153740"/>
    <n v="142603"/>
    <n v="11137"/>
    <n v="7.2"/>
    <n v="7.2440483933914404E-2"/>
  </r>
  <r>
    <x v="8"/>
    <s v="2009 Q3"/>
    <x v="2"/>
    <n v="171027"/>
    <n v="157120"/>
    <n v="13907"/>
    <n v="8.1"/>
    <n v="8.1314646225449788E-2"/>
  </r>
  <r>
    <x v="9"/>
    <s v="2009 Q3"/>
    <x v="2"/>
    <n v="97273"/>
    <n v="89087"/>
    <n v="8187"/>
    <n v="8.4"/>
    <n v="8.4165184583594621E-2"/>
  </r>
  <r>
    <x v="10"/>
    <s v="2009 Q3"/>
    <x v="2"/>
    <n v="133423"/>
    <n v="124350"/>
    <n v="9073"/>
    <n v="6.8"/>
    <n v="6.8001768810474955E-2"/>
  </r>
  <r>
    <x v="11"/>
    <s v="2009 Q3"/>
    <x v="2"/>
    <n v="234370"/>
    <n v="213177"/>
    <n v="21193"/>
    <n v="9"/>
    <n v="9.0425395741775827E-2"/>
  </r>
  <r>
    <x v="12"/>
    <s v="2009 Q3"/>
    <x v="2"/>
    <n v="3548887"/>
    <n v="1080377"/>
    <n v="329033"/>
    <n v="9.2714188469194367E-2"/>
    <n v="9.2714420042114609E-2"/>
  </r>
  <r>
    <x v="0"/>
    <s v="2009 Q4"/>
    <x v="3"/>
    <n v="167833"/>
    <n v="154167"/>
    <n v="13667"/>
    <n v="8.1"/>
    <n v="8.1432137898982918E-2"/>
  </r>
  <r>
    <x v="1"/>
    <s v="2009 Q4"/>
    <x v="3"/>
    <n v="228827"/>
    <n v="206177"/>
    <n v="22650"/>
    <n v="9.9"/>
    <n v="9.898307454976904E-2"/>
  </r>
  <r>
    <x v="2"/>
    <s v="2009 Q4"/>
    <x v="3"/>
    <n v="205403"/>
    <n v="186587"/>
    <n v="18817"/>
    <n v="9.1999999999999993"/>
    <n v="9.1610151750461291E-2"/>
  </r>
  <r>
    <x v="3"/>
    <s v="2009 Q4"/>
    <x v="3"/>
    <n v="382053"/>
    <n v="341730"/>
    <n v="40323"/>
    <n v="10.6"/>
    <n v="0.10554294822969588"/>
  </r>
  <r>
    <x v="4"/>
    <s v="2009 Q4"/>
    <x v="3"/>
    <n v="1111490"/>
    <n v="1011993"/>
    <n v="99497"/>
    <n v="9"/>
    <n v="8.9516774779800093E-2"/>
  </r>
  <r>
    <x v="5"/>
    <s v="2009 Q4"/>
    <x v="3"/>
    <n v="395390"/>
    <n v="356867"/>
    <n v="38523"/>
    <n v="9.6999999999999993"/>
    <n v="9.7430385189306759E-2"/>
  </r>
  <r>
    <x v="6"/>
    <s v="2009 Q4"/>
    <x v="3"/>
    <n v="266790"/>
    <n v="229967"/>
    <n v="36823"/>
    <n v="13.8"/>
    <n v="0.13802241463323214"/>
  </r>
  <r>
    <x v="7"/>
    <s v="2009 Q4"/>
    <x v="3"/>
    <n v="132117"/>
    <n v="119587"/>
    <n v="12530"/>
    <n v="9.5"/>
    <n v="9.4840179537833885E-2"/>
  </r>
  <r>
    <x v="8"/>
    <s v="2009 Q4"/>
    <x v="3"/>
    <n v="160613"/>
    <n v="145463"/>
    <n v="15150"/>
    <n v="9.4"/>
    <n v="9.432611307926507E-2"/>
  </r>
  <r>
    <x v="9"/>
    <s v="2009 Q4"/>
    <x v="3"/>
    <n v="98010"/>
    <n v="89623"/>
    <n v="8387"/>
    <n v="8.6"/>
    <n v="8.5572900724415882E-2"/>
  </r>
  <r>
    <x v="10"/>
    <s v="2009 Q4"/>
    <x v="3"/>
    <n v="128993"/>
    <n v="119117"/>
    <n v="9877"/>
    <n v="7.7"/>
    <n v="7.6570046436628347E-2"/>
  </r>
  <r>
    <x v="11"/>
    <s v="2009 Q4"/>
    <x v="3"/>
    <n v="239197"/>
    <n v="217123"/>
    <n v="22073"/>
    <n v="9.1999999999999993"/>
    <n v="9.2279585446305767E-2"/>
  </r>
  <r>
    <x v="12"/>
    <s v="2009 Q4"/>
    <x v="3"/>
    <n v="3516687"/>
    <n v="3178390"/>
    <n v="338297"/>
    <n v="9.6207596032377038E-2"/>
    <n v="9.6197642838273631E-2"/>
  </r>
  <r>
    <x v="0"/>
    <s v="2010 Q1"/>
    <x v="4"/>
    <n v="169233"/>
    <n v="152957"/>
    <n v="16277"/>
    <n v="9.6"/>
    <n v="9.6181004886753768E-2"/>
  </r>
  <r>
    <x v="1"/>
    <s v="2010 Q1"/>
    <x v="4"/>
    <n v="229957"/>
    <n v="203117"/>
    <n v="26840"/>
    <n v="11.7"/>
    <n v="0.11671747326674117"/>
  </r>
  <r>
    <x v="2"/>
    <s v="2010 Q1"/>
    <x v="4"/>
    <n v="206433"/>
    <n v="184077"/>
    <n v="22357"/>
    <n v="10.8"/>
    <n v="0.10830148280555919"/>
  </r>
  <r>
    <x v="3"/>
    <s v="2010 Q1"/>
    <x v="4"/>
    <n v="383070"/>
    <n v="341213"/>
    <n v="41857"/>
    <n v="10.9"/>
    <n v="0.10926723575325659"/>
  </r>
  <r>
    <x v="4"/>
    <s v="2010 Q1"/>
    <x v="4"/>
    <n v="1112207"/>
    <n v="1010453"/>
    <n v="101753"/>
    <n v="9.1"/>
    <n v="9.1487465912370627E-2"/>
  </r>
  <r>
    <x v="5"/>
    <s v="2010 Q1"/>
    <x v="4"/>
    <n v="399893"/>
    <n v="354467"/>
    <n v="45427"/>
    <n v="11.4"/>
    <n v="0.11359788743488883"/>
  </r>
  <r>
    <x v="6"/>
    <s v="2010 Q1"/>
    <x v="4"/>
    <n v="269340"/>
    <n v="228240"/>
    <n v="41100"/>
    <n v="15.3"/>
    <n v="0.15259523279126755"/>
  </r>
  <r>
    <x v="7"/>
    <s v="2010 Q1"/>
    <x v="4"/>
    <n v="127410"/>
    <n v="111563"/>
    <n v="15847"/>
    <n v="12.4"/>
    <n v="0.12437799230829605"/>
  </r>
  <r>
    <x v="8"/>
    <s v="2010 Q1"/>
    <x v="4"/>
    <n v="158867"/>
    <n v="139657"/>
    <n v="19210"/>
    <n v="12.1"/>
    <n v="0.12091875594050369"/>
  </r>
  <r>
    <x v="9"/>
    <s v="2010 Q1"/>
    <x v="4"/>
    <n v="98540"/>
    <n v="87840"/>
    <n v="10700"/>
    <n v="10.9"/>
    <n v="0.10858534605236453"/>
  </r>
  <r>
    <x v="10"/>
    <s v="2010 Q1"/>
    <x v="4"/>
    <n v="129717"/>
    <n v="117720"/>
    <n v="11997"/>
    <n v="9.1999999999999993"/>
    <n v="9.2485950183861798E-2"/>
  </r>
  <r>
    <x v="11"/>
    <s v="2010 Q1"/>
    <x v="4"/>
    <n v="240403"/>
    <n v="212967"/>
    <n v="27437"/>
    <n v="11.4"/>
    <n v="0.11412919139944178"/>
  </r>
  <r>
    <x v="12"/>
    <s v="2010 Q1"/>
    <x v="4"/>
    <n v="3525040"/>
    <n v="3144263"/>
    <n v="380777"/>
    <n v="0.10802553435926655"/>
    <n v="0.10802061820575086"/>
  </r>
  <r>
    <x v="0"/>
    <s v="2010 Q2"/>
    <x v="5"/>
    <n v="168543"/>
    <n v="154503"/>
    <n v="14040"/>
    <n v="8.3000000000000007"/>
    <n v="8.3302184012388536E-2"/>
  </r>
  <r>
    <x v="1"/>
    <s v="2010 Q2"/>
    <x v="5"/>
    <n v="228663"/>
    <n v="205760"/>
    <n v="22903"/>
    <n v="10"/>
    <n v="0.10016049820040847"/>
  </r>
  <r>
    <x v="2"/>
    <s v="2010 Q2"/>
    <x v="5"/>
    <n v="207553"/>
    <n v="188673"/>
    <n v="18880"/>
    <n v="9.1"/>
    <n v="9.0964717445664478E-2"/>
  </r>
  <r>
    <x v="3"/>
    <s v="2010 Q2"/>
    <x v="5"/>
    <n v="383340"/>
    <n v="344700"/>
    <n v="38640"/>
    <n v="10.1"/>
    <n v="0.10079824698700893"/>
  </r>
  <r>
    <x v="4"/>
    <s v="2010 Q2"/>
    <x v="5"/>
    <n v="1116503"/>
    <n v="1020780"/>
    <n v="95723"/>
    <n v="8.6"/>
    <n v="8.5734655437558163E-2"/>
  </r>
  <r>
    <x v="5"/>
    <s v="2010 Q2"/>
    <x v="5"/>
    <n v="396107"/>
    <n v="356933"/>
    <n v="39173"/>
    <n v="9.9"/>
    <n v="9.889499554413328E-2"/>
  </r>
  <r>
    <x v="6"/>
    <s v="2010 Q2"/>
    <x v="5"/>
    <n v="266033"/>
    <n v="230230"/>
    <n v="35803"/>
    <n v="13.5"/>
    <n v="0.13458104821582284"/>
  </r>
  <r>
    <x v="7"/>
    <s v="2010 Q2"/>
    <x v="5"/>
    <n v="135363"/>
    <n v="122903"/>
    <n v="12460"/>
    <n v="9.1999999999999993"/>
    <n v="9.2048787334796073E-2"/>
  </r>
  <r>
    <x v="8"/>
    <s v="2010 Q2"/>
    <x v="5"/>
    <n v="163097"/>
    <n v="147310"/>
    <n v="15787"/>
    <n v="9.6999999999999993"/>
    <n v="9.6795158709234386E-2"/>
  </r>
  <r>
    <x v="9"/>
    <s v="2010 Q2"/>
    <x v="5"/>
    <n v="99857"/>
    <n v="91133"/>
    <n v="8723"/>
    <n v="8.6999999999999993"/>
    <n v="8.7354917532070864E-2"/>
  </r>
  <r>
    <x v="10"/>
    <s v="2010 Q2"/>
    <x v="5"/>
    <n v="135500"/>
    <n v="125810"/>
    <n v="9690"/>
    <n v="7.2"/>
    <n v="7.1512915129151297E-2"/>
  </r>
  <r>
    <x v="11"/>
    <s v="2010 Q2"/>
    <x v="5"/>
    <n v="237310"/>
    <n v="215073"/>
    <n v="22237"/>
    <n v="9.4"/>
    <n v="9.3704437233997726E-2"/>
  </r>
  <r>
    <x v="12"/>
    <s v="2010 Q2"/>
    <x v="5"/>
    <n v="3537857"/>
    <n v="3203803"/>
    <n v="334053"/>
    <n v="9.4422671229596855E-2"/>
    <n v="9.4422414472942237E-2"/>
  </r>
  <r>
    <x v="0"/>
    <s v="2010 Q3"/>
    <x v="6"/>
    <n v="167310"/>
    <n v="153883"/>
    <n v="13427"/>
    <n v="8"/>
    <n v="8.025222640607256E-2"/>
  </r>
  <r>
    <x v="1"/>
    <s v="2010 Q3"/>
    <x v="6"/>
    <n v="226110"/>
    <n v="204627"/>
    <n v="21483"/>
    <n v="9.5"/>
    <n v="9.5011277696696303E-2"/>
  </r>
  <r>
    <x v="2"/>
    <s v="2010 Q3"/>
    <x v="6"/>
    <n v="207003"/>
    <n v="189143"/>
    <n v="17860"/>
    <n v="8.6"/>
    <n v="8.6278942817253859E-2"/>
  </r>
  <r>
    <x v="3"/>
    <s v="2010 Q3"/>
    <x v="6"/>
    <n v="379930"/>
    <n v="342210"/>
    <n v="37720"/>
    <n v="9.9"/>
    <n v="9.9281446582265148E-2"/>
  </r>
  <r>
    <x v="4"/>
    <s v="2010 Q3"/>
    <x v="6"/>
    <n v="1109087"/>
    <n v="1013410"/>
    <n v="95677"/>
    <n v="8.6"/>
    <n v="8.6266451594870369E-2"/>
  </r>
  <r>
    <x v="5"/>
    <s v="2010 Q3"/>
    <x v="6"/>
    <n v="391683"/>
    <n v="354773"/>
    <n v="36910"/>
    <n v="9.4"/>
    <n v="9.4234368098692053E-2"/>
  </r>
  <r>
    <x v="6"/>
    <s v="2010 Q3"/>
    <x v="6"/>
    <n v="263933"/>
    <n v="229630"/>
    <n v="34303"/>
    <n v="13"/>
    <n v="0.12996859051350154"/>
  </r>
  <r>
    <x v="7"/>
    <s v="2010 Q3"/>
    <x v="6"/>
    <n v="150010"/>
    <n v="138553"/>
    <n v="11457"/>
    <n v="7.6"/>
    <n v="7.6374908339444034E-2"/>
  </r>
  <r>
    <x v="8"/>
    <s v="2010 Q3"/>
    <x v="6"/>
    <n v="171350"/>
    <n v="156617"/>
    <n v="14733"/>
    <n v="8.6"/>
    <n v="8.598190837467172E-2"/>
  </r>
  <r>
    <x v="9"/>
    <s v="2010 Q3"/>
    <x v="6"/>
    <n v="98707"/>
    <n v="90593"/>
    <n v="8113"/>
    <n v="8.1999999999999993"/>
    <n v="8.2192752287071832E-2"/>
  </r>
  <r>
    <x v="10"/>
    <s v="2010 Q3"/>
    <x v="6"/>
    <n v="138703"/>
    <n v="129410"/>
    <n v="9293"/>
    <n v="6.7"/>
    <n v="6.6999271825411127E-2"/>
  </r>
  <r>
    <x v="11"/>
    <s v="2010 Q3"/>
    <x v="6"/>
    <n v="232337"/>
    <n v="211583"/>
    <n v="20753"/>
    <n v="8.9"/>
    <n v="8.9322837085784867E-2"/>
  </r>
  <r>
    <x v="12"/>
    <s v="2010 Q3"/>
    <x v="6"/>
    <n v="3536117"/>
    <n v="3214420"/>
    <n v="321697"/>
    <n v="9.0974048273954014E-2"/>
    <n v="9.0974648180475931E-2"/>
  </r>
  <r>
    <x v="0"/>
    <s v="2010 Q4"/>
    <x v="7"/>
    <n v="167893"/>
    <n v="154707"/>
    <n v="13187"/>
    <n v="7.9"/>
    <n v="7.8544072712977905E-2"/>
  </r>
  <r>
    <x v="1"/>
    <s v="2010 Q4"/>
    <x v="7"/>
    <n v="227483"/>
    <n v="206053"/>
    <n v="21430"/>
    <n v="9.4"/>
    <n v="9.4204841680477228E-2"/>
  </r>
  <r>
    <x v="2"/>
    <s v="2010 Q4"/>
    <x v="7"/>
    <n v="205730"/>
    <n v="188077"/>
    <n v="17653"/>
    <n v="8.6"/>
    <n v="8.5806639770573082E-2"/>
  </r>
  <r>
    <x v="3"/>
    <s v="2010 Q4"/>
    <x v="7"/>
    <n v="379867"/>
    <n v="341647"/>
    <n v="38220"/>
    <n v="10.1"/>
    <n v="0.10061416232523489"/>
  </r>
  <r>
    <x v="4"/>
    <s v="2010 Q4"/>
    <x v="7"/>
    <n v="1108080"/>
    <n v="1011743"/>
    <n v="96337"/>
    <n v="8.6999999999999993"/>
    <n v="8.6940473612013569E-2"/>
  </r>
  <r>
    <x v="5"/>
    <s v="2010 Q4"/>
    <x v="7"/>
    <n v="398350"/>
    <n v="362203"/>
    <n v="36147"/>
    <n v="9.1"/>
    <n v="9.0741809966110198E-2"/>
  </r>
  <r>
    <x v="6"/>
    <s v="2010 Q4"/>
    <x v="7"/>
    <n v="267653"/>
    <n v="234197"/>
    <n v="33457"/>
    <n v="12.5"/>
    <n v="0.12500140106780047"/>
  </r>
  <r>
    <x v="7"/>
    <s v="2010 Q4"/>
    <x v="7"/>
    <n v="134597"/>
    <n v="122583"/>
    <n v="12013"/>
    <n v="8.9"/>
    <n v="8.9251617792372784E-2"/>
  </r>
  <r>
    <x v="8"/>
    <s v="2010 Q4"/>
    <x v="7"/>
    <n v="164267"/>
    <n v="149460"/>
    <n v="14807"/>
    <n v="9"/>
    <n v="9.0139833320143428E-2"/>
  </r>
  <r>
    <x v="9"/>
    <s v="2010 Q4"/>
    <x v="7"/>
    <n v="98457"/>
    <n v="90553"/>
    <n v="7903"/>
    <n v="8"/>
    <n v="8.0268543628182865E-2"/>
  </r>
  <r>
    <x v="10"/>
    <s v="2010 Q4"/>
    <x v="7"/>
    <n v="135183"/>
    <n v="125627"/>
    <n v="9557"/>
    <n v="7.1"/>
    <n v="7.0696759207888565E-2"/>
  </r>
  <r>
    <x v="11"/>
    <s v="2010 Q4"/>
    <x v="7"/>
    <n v="239960"/>
    <n v="219157"/>
    <n v="20803"/>
    <n v="8.6999999999999993"/>
    <n v="8.669361560260043E-2"/>
  </r>
  <r>
    <x v="12"/>
    <s v="2010 Q4"/>
    <x v="7"/>
    <n v="3527497"/>
    <n v="3205983"/>
    <n v="321513"/>
    <n v="9.1432721871628916E-2"/>
    <n v="9.1144797571762637E-2"/>
  </r>
  <r>
    <x v="0"/>
    <s v="2011 Q1"/>
    <x v="8"/>
    <n v="166703"/>
    <n v="151840"/>
    <n v="14863"/>
    <n v="8.9"/>
    <n v="8.9158563433171564E-2"/>
  </r>
  <r>
    <x v="1"/>
    <s v="2011 Q1"/>
    <x v="8"/>
    <n v="224743"/>
    <n v="200700"/>
    <n v="24043"/>
    <n v="10.7"/>
    <n v="0.10697997267990549"/>
  </r>
  <r>
    <x v="2"/>
    <s v="2011 Q1"/>
    <x v="8"/>
    <n v="203350"/>
    <n v="183250"/>
    <n v="20100"/>
    <n v="9.9"/>
    <n v="9.8844357019916396E-2"/>
  </r>
  <r>
    <x v="3"/>
    <s v="2011 Q1"/>
    <x v="8"/>
    <n v="380653"/>
    <n v="341623"/>
    <n v="39030"/>
    <n v="10.3"/>
    <n v="0.10253432916593327"/>
  </r>
  <r>
    <x v="4"/>
    <s v="2011 Q1"/>
    <x v="8"/>
    <n v="1106450"/>
    <n v="1011677"/>
    <n v="94773"/>
    <n v="8.6"/>
    <n v="8.5655022820732979E-2"/>
  </r>
  <r>
    <x v="5"/>
    <s v="2011 Q1"/>
    <x v="8"/>
    <n v="394597"/>
    <n v="354057"/>
    <n v="40540"/>
    <n v="10.3"/>
    <n v="0.1027377298864411"/>
  </r>
  <r>
    <x v="6"/>
    <s v="2011 Q1"/>
    <x v="8"/>
    <n v="263647"/>
    <n v="229260"/>
    <n v="34387"/>
    <n v="13"/>
    <n v="0.13042818617317853"/>
  </r>
  <r>
    <x v="7"/>
    <s v="2011 Q1"/>
    <x v="8"/>
    <n v="127847"/>
    <n v="113647"/>
    <n v="14200"/>
    <n v="11.1"/>
    <n v="0.11107026367454849"/>
  </r>
  <r>
    <x v="8"/>
    <s v="2011 Q1"/>
    <x v="8"/>
    <n v="158147"/>
    <n v="140503"/>
    <n v="17643"/>
    <n v="11.2"/>
    <n v="0.11156076308750719"/>
  </r>
  <r>
    <x v="9"/>
    <s v="2011 Q1"/>
    <x v="8"/>
    <n v="97120"/>
    <n v="87527"/>
    <n v="9593"/>
    <n v="9.9"/>
    <n v="9.8774711696869855E-2"/>
  </r>
  <r>
    <x v="10"/>
    <s v="2011 Q1"/>
    <x v="8"/>
    <n v="132293"/>
    <n v="121260"/>
    <n v="11033"/>
    <n v="8.3000000000000007"/>
    <n v="8.3398214569175996E-2"/>
  </r>
  <r>
    <x v="11"/>
    <s v="2011 Q1"/>
    <x v="8"/>
    <n v="237533"/>
    <n v="212977"/>
    <n v="24557"/>
    <n v="10.3"/>
    <n v="0.10338352986742895"/>
  </r>
  <r>
    <x v="12"/>
    <s v="2011 Q1"/>
    <x v="8"/>
    <n v="3493033"/>
    <n v="3148303"/>
    <n v="344730"/>
    <n v="9.8690800173549934E-2"/>
    <n v="9.869073667497559E-2"/>
  </r>
  <r>
    <x v="0"/>
    <s v="2011 Q2"/>
    <x v="9"/>
    <n v="164280"/>
    <n v="150707"/>
    <n v="13573"/>
    <n v="8.3000000000000007"/>
    <n v="8.2621134648161676E-2"/>
  </r>
  <r>
    <x v="1"/>
    <s v="2011 Q2"/>
    <x v="9"/>
    <n v="223237"/>
    <n v="201337"/>
    <n v="21900"/>
    <n v="9.8000000000000007"/>
    <n v="9.8102017138735967E-2"/>
  </r>
  <r>
    <x v="2"/>
    <s v="2011 Q2"/>
    <x v="9"/>
    <n v="201800"/>
    <n v="184030"/>
    <n v="17770"/>
    <n v="8.8000000000000007"/>
    <n v="8.8057482656095143E-2"/>
  </r>
  <r>
    <x v="3"/>
    <s v="2011 Q2"/>
    <x v="9"/>
    <n v="375313"/>
    <n v="339247"/>
    <n v="36067"/>
    <n v="9.6"/>
    <n v="9.6098456488317746E-2"/>
  </r>
  <r>
    <x v="4"/>
    <s v="2011 Q2"/>
    <x v="9"/>
    <n v="1095283"/>
    <n v="1004630"/>
    <n v="90653"/>
    <n v="8.3000000000000007"/>
    <n v="8.2766736998565668E-2"/>
  </r>
  <r>
    <x v="5"/>
    <s v="2011 Q2"/>
    <x v="9"/>
    <n v="390640"/>
    <n v="353040"/>
    <n v="37600"/>
    <n v="9.6"/>
    <n v="9.6252303911529793E-2"/>
  </r>
  <r>
    <x v="6"/>
    <s v="2011 Q2"/>
    <x v="9"/>
    <n v="261137"/>
    <n v="228457"/>
    <n v="32680"/>
    <n v="12.5"/>
    <n v="0.12514503881104555"/>
  </r>
  <r>
    <x v="7"/>
    <s v="2011 Q2"/>
    <x v="9"/>
    <n v="134463"/>
    <n v="122640"/>
    <n v="11823"/>
    <n v="8.8000000000000007"/>
    <n v="8.7927533968452293E-2"/>
  </r>
  <r>
    <x v="8"/>
    <s v="2011 Q2"/>
    <x v="9"/>
    <n v="160933"/>
    <n v="145207"/>
    <n v="15727"/>
    <n v="9.8000000000000007"/>
    <n v="9.7723897522571504E-2"/>
  </r>
  <r>
    <x v="9"/>
    <s v="2011 Q2"/>
    <x v="9"/>
    <n v="97160"/>
    <n v="88857"/>
    <n v="8303"/>
    <n v="8.5"/>
    <n v="8.5456978180321122E-2"/>
  </r>
  <r>
    <x v="10"/>
    <s v="2011 Q2"/>
    <x v="9"/>
    <n v="134490"/>
    <n v="124780"/>
    <n v="9710"/>
    <n v="7.2"/>
    <n v="7.2198676481522783E-2"/>
  </r>
  <r>
    <x v="11"/>
    <s v="2011 Q2"/>
    <x v="9"/>
    <n v="235217"/>
    <n v="214337"/>
    <n v="20880"/>
    <n v="8.9"/>
    <n v="8.8769094070581631E-2"/>
  </r>
  <r>
    <x v="12"/>
    <s v="2011 Q2"/>
    <x v="9"/>
    <n v="3473933"/>
    <n v="3157260"/>
    <n v="316673"/>
    <n v="9.1152519762450035E-2"/>
    <n v="9.1156910625507168E-2"/>
  </r>
  <r>
    <x v="0"/>
    <s v="2011 Q3"/>
    <x v="10"/>
    <n v="162070"/>
    <n v="149143"/>
    <n v="12927"/>
    <n v="8"/>
    <n v="7.9761831307459743E-2"/>
  </r>
  <r>
    <x v="1"/>
    <s v="2011 Q3"/>
    <x v="10"/>
    <n v="220407"/>
    <n v="199483"/>
    <n v="20923"/>
    <n v="9.5"/>
    <n v="9.4928926939707003E-2"/>
  </r>
  <r>
    <x v="2"/>
    <s v="2011 Q3"/>
    <x v="10"/>
    <n v="201503"/>
    <n v="184447"/>
    <n v="17057"/>
    <n v="8.5"/>
    <n v="8.4648863788628459E-2"/>
  </r>
  <r>
    <x v="3"/>
    <s v="2011 Q3"/>
    <x v="10"/>
    <n v="379200"/>
    <n v="343527"/>
    <n v="35673"/>
    <n v="9.4"/>
    <n v="9.4074367088607599E-2"/>
  </r>
  <r>
    <x v="4"/>
    <s v="2011 Q3"/>
    <x v="10"/>
    <n v="1109877"/>
    <n v="1017307"/>
    <n v="92570"/>
    <n v="8.3000000000000007"/>
    <n v="8.3405638642840604E-2"/>
  </r>
  <r>
    <x v="5"/>
    <s v="2011 Q3"/>
    <x v="10"/>
    <n v="384160"/>
    <n v="348260"/>
    <n v="35900"/>
    <n v="9.3000000000000007"/>
    <n v="9.3450645564348192E-2"/>
  </r>
  <r>
    <x v="6"/>
    <s v="2011 Q3"/>
    <x v="10"/>
    <n v="256350"/>
    <n v="225437"/>
    <n v="30913"/>
    <n v="12.1"/>
    <n v="0.12058903842402964"/>
  </r>
  <r>
    <x v="7"/>
    <s v="2011 Q3"/>
    <x v="10"/>
    <n v="148397"/>
    <n v="137710"/>
    <n v="10687"/>
    <n v="7.2"/>
    <n v="7.2016280652573844E-2"/>
  </r>
  <r>
    <x v="8"/>
    <s v="2011 Q3"/>
    <x v="10"/>
    <n v="165927"/>
    <n v="151323"/>
    <n v="14603"/>
    <n v="8.8000000000000007"/>
    <n v="8.8008582087303458E-2"/>
  </r>
  <r>
    <x v="9"/>
    <s v="2011 Q3"/>
    <x v="10"/>
    <n v="96100"/>
    <n v="88273"/>
    <n v="7827"/>
    <n v="8.1"/>
    <n v="8.1446409989594168E-2"/>
  </r>
  <r>
    <x v="10"/>
    <s v="2011 Q3"/>
    <x v="10"/>
    <n v="134463"/>
    <n v="125090"/>
    <n v="9373"/>
    <n v="7"/>
    <n v="6.9706908220105154E-2"/>
  </r>
  <r>
    <x v="11"/>
    <s v="2011 Q3"/>
    <x v="10"/>
    <n v="226663"/>
    <n v="206863"/>
    <n v="19800"/>
    <n v="8.6999999999999993"/>
    <n v="8.735435426161306E-2"/>
  </r>
  <r>
    <x v="12"/>
    <s v="2011 Q3"/>
    <x v="10"/>
    <n v="3485057"/>
    <n v="3176837"/>
    <n v="308220"/>
    <n v="8.8443665653937839E-2"/>
    <n v="8.8440447315495843E-2"/>
  </r>
</pivotCacheRecords>
</file>

<file path=xl/pivotCache/pivotCacheRecords19.xml><?xml version="1.0" encoding="utf-8"?>
<pivotCacheRecords xmlns="http://schemas.openxmlformats.org/spreadsheetml/2006/main" xmlns:r="http://schemas.openxmlformats.org/officeDocument/2006/relationships" count="1">
  <r>
    <x v="0"/>
    <x v="0"/>
    <x v="0"/>
    <x v="0"/>
    <x v="0"/>
    <x v="0"/>
  </r>
</pivotCacheRecords>
</file>

<file path=xl/pivotCache/pivotCacheRecords20.xml><?xml version="1.0" encoding="utf-8"?>
<pivotCacheRecords xmlns="http://schemas.openxmlformats.org/spreadsheetml/2006/main" xmlns:r="http://schemas.openxmlformats.org/officeDocument/2006/relationships" count="1">
  <r>
    <x v="0"/>
    <x v="0"/>
    <x v="0"/>
    <x v="0"/>
    <x v="0"/>
    <x v="0"/>
    <x v="0"/>
    <x v="0"/>
  </r>
</pivotCacheRecords>
</file>

<file path=xl/pivotCache/pivotCacheRecords21.xml><?xml version="1.0" encoding="utf-8"?>
<pivotCacheRecords xmlns="http://schemas.openxmlformats.org/spreadsheetml/2006/main" xmlns:r="http://schemas.openxmlformats.org/officeDocument/2006/relationships" count="1">
  <r>
    <x v="0"/>
    <x v="0"/>
    <x v="0"/>
    <x v="0"/>
    <x v="0"/>
    <x v="0"/>
  </r>
</pivotCacheRecords>
</file>

<file path=xl/pivotCache/pivotCacheRecords22.xml><?xml version="1.0" encoding="utf-8"?>
<pivotCacheRecords xmlns="http://schemas.openxmlformats.org/spreadsheetml/2006/main" xmlns:r="http://schemas.openxmlformats.org/officeDocument/2006/relationships" count="1">
  <r>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7:H39"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EOWIASEEKERCOUNT_CountOfSEEKER_ID" fld="0" baseField="0" baseItem="0"/>
    <dataField name="Sum of EOWIAGENDERCOUNT_CountOfSEEKER_ID" fld="1" baseField="0" baseItem="0"/>
    <dataField name="Sum of EOWIARACECOUNT_CountOfSEEKER_ID" fld="2" baseField="0" baseItem="0"/>
    <dataField name="Sum of EOWIAAGECOUNT_CountOfSEEKER_ID" fld="3" baseField="0" baseItem="0"/>
    <dataField name="Sum of EOWIADSISABILITYCOUNT_CountOfSEEKER_ID" fld="4" baseField="0" baseItem="0"/>
    <dataField name="Sum of EDUCATIONWIACOUNT_CountOfSEEKER_ID" fld="5" baseField="0" baseItem="0"/>
    <dataField name="Sum of HSWIACOUNT_CountOfSEEKER_ID" fld="6" baseField="0" baseItem="0"/>
    <dataField name="Sum of COLLEGEWIACOUNT_CountOfSEEKER_ID" fld="7"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2:E34" firstHeaderRow="1" firstDataRow="2" firstDataCol="0"/>
  <pivotFields count="5">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Sum of EOSeekersServedCount_CountOfSEEKERID" fld="0" baseField="0" baseItem="0"/>
    <dataField name="Sum of EOGenderCount_CountOfSEEKERID" fld="1" baseField="0" baseItem="0"/>
    <dataField name="Sum of EODisabilityCount_CountOfSEEKERID" fld="4" baseField="0" baseItem="0"/>
    <dataField name="Sum of EOAgeCount_CountOfSEEKERID" fld="3" baseField="0" baseItem="0"/>
    <dataField name="Sum of EORaceCount_CountOfSEEKERID" fld="2"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4" cacheId="2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7:D19" firstHeaderRow="1" firstDataRow="2" firstDataCol="0"/>
  <pivotFields count="6">
    <pivotField showAll="0"/>
    <pivotField dataField="1" showAll="0"/>
    <pivotField showAll="0"/>
    <pivotField dataField="1" showAll="0"/>
    <pivotField dataField="1" showAll="0"/>
    <pivotField dataField="1" showAll="0"/>
  </pivotFields>
  <rowItems count="1">
    <i/>
  </rowItems>
  <colFields count="1">
    <field x="-2"/>
  </colFields>
  <colItems count="4">
    <i>
      <x/>
    </i>
    <i i="1">
      <x v="1"/>
    </i>
    <i i="2">
      <x v="2"/>
    </i>
    <i i="3">
      <x v="3"/>
    </i>
  </colItems>
  <dataFields count="4">
    <dataField name="Sum of 3COUNT OF JOB ORDERS AND JOB OPENINGS_SumOfJOB OPENINGS" fld="1" baseField="0" baseItem="0"/>
    <dataField name="Sum of 3CountOfJobORders1YearAgo_SumOfJOB OPENINGS" fld="3" baseField="0" baseItem="0"/>
    <dataField name="Sum of 3CountOfEmployersServed_CountOfEMPLOYER_ID" fld="4" baseField="0" baseItem="0"/>
    <dataField name="Sum of 3CountOfEmployersServed1YearAgo_CountOfEMPLOYER_ID" fld="5"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H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all" fld="0" baseField="0" baseItem="0"/>
    <dataField name="Sum of staffassist" fld="2" baseField="0" baseItem="0"/>
    <dataField name="Sum of self" fld="1" baseField="0" baseItem="0"/>
    <dataField name="Sum of core" fld="3" baseField="0" baseItem="0"/>
    <dataField name="Sum of coreint" fld="4" baseField="0" baseItem="0"/>
    <dataField name="Sum of newtraining" fld="5" baseField="0" baseItem="0"/>
    <dataField name="Sum of ongoing" fld="6" baseField="0" baseItem="0"/>
    <dataField name="Sum of complete" fld="7"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6" cacheId="7"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7:E29" firstHeaderRow="1" firstDataRow="2" firstDataCol="0"/>
  <pivotFields count="5">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Sum of CountOfSEEKERID" fld="0" baseField="0" baseItem="0"/>
    <dataField name="Sum of CountOfSERVICEDATE" fld="1" baseField="0" baseItem="0"/>
    <dataField name="Sum of NewWages" fld="3" baseField="0" baseItem="0"/>
    <dataField name="Sum of OldWages" fld="2" baseField="0" baseItem="0"/>
    <dataField name="Sum of AvgOfDuration" fld="4" baseField="0" baseItem="0"/>
  </dataField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2" cacheId="1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D9" firstHeaderRow="1" firstDataRow="2" firstDataCol="0"/>
  <pivotFields count="4">
    <pivotField dataField="1" showAll="0"/>
    <pivotField dataField="1" showAll="0"/>
    <pivotField dataField="1" showAll="0"/>
    <pivotField dataField="1" showAll="0"/>
  </pivotFields>
  <rowItems count="1">
    <i/>
  </rowItems>
  <colFields count="1">
    <field x="-2"/>
  </colFields>
  <colItems count="4">
    <i>
      <x/>
    </i>
    <i i="1">
      <x v="1"/>
    </i>
    <i i="2">
      <x v="2"/>
    </i>
    <i i="3">
      <x v="3"/>
    </i>
  </colItems>
  <dataFields count="4">
    <dataField name="Sum of JobSearch" fld="2" baseField="0" baseItem="0"/>
    <dataField name="Sum of CommunityReferral" fld="3" baseField="0" baseItem="0"/>
    <dataField name="Sum of SkillDevelopment" fld="1" baseField="0" baseItem="0"/>
    <dataField name="Sum of Assessments" fld="0" baseField="0" baseItem="0"/>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2:H14" firstHeaderRow="1" firstDataRow="2" firstDataCol="0"/>
  <pivotFields count="8">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dataFields count="8">
    <dataField name="Sum of currentprogram" fld="0" baseField="0" baseItem="0"/>
    <dataField name="Sum of program1yearago" fld="1" baseField="0" baseItem="0"/>
    <dataField name="Sum of wiacurrent" fld="2" baseField="0" baseItem="0"/>
    <dataField name="Sum of wia1yearago" fld="3" baseField="0" baseItem="0"/>
    <dataField name="Sum of wianewcurrent" fld="4" baseField="0" baseItem="0"/>
    <dataField name="Sum of wianew1yearago" fld="5" baseField="0" baseItem="0"/>
    <dataField name="Sum of wiaexitcurrent" fld="6" baseField="0" baseItem="0"/>
    <dataField name="Sum of wiaexit1yearago" fld="7" baseField="0" baseItem="0"/>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10" cacheId="2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42:C44" firstHeaderRow="1" firstDataRow="2" firstDataCol="0"/>
  <pivotFields count="3">
    <pivotField dataField="1" showAll="0"/>
    <pivotField dataField="1" showAll="0"/>
    <pivotField dataField="1" showAll="0"/>
  </pivotFields>
  <rowItems count="1">
    <i/>
  </rowItems>
  <colFields count="1">
    <field x="-2"/>
  </colFields>
  <colItems count="3">
    <i>
      <x/>
    </i>
    <i i="1">
      <x v="1"/>
    </i>
    <i i="2">
      <x v="2"/>
    </i>
  </colItems>
  <dataFields count="3">
    <dataField name="Sum of OVER25COUNT_CountOfSEEKERID" fld="0" baseField="0" baseItem="0"/>
    <dataField name="Sum of HSCOUNT_CountOfSEEKERID" fld="1" baseField="0" baseItem="0"/>
    <dataField name="Sum of COLLEGECOUNT_CountOfSEEKERID" fld="2"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5" cacheId="1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2:F24" firstHeaderRow="1" firstDataRow="2" firstDataCol="0"/>
  <pivotFields count="6">
    <pivotField dataField="1" showAll="0"/>
    <pivotField dataField="1" showAll="0"/>
    <pivotField dataField="1" showAll="0"/>
    <pivotField dataField="1" showAll="0"/>
    <pivotField dataField="1" showAll="0"/>
    <pivotField dataField="1" showAll="0"/>
  </pivotFields>
  <rowItems count="1">
    <i/>
  </rowItems>
  <colFields count="1">
    <field x="-2"/>
  </colFields>
  <colItems count="6">
    <i>
      <x/>
    </i>
    <i i="1">
      <x v="1"/>
    </i>
    <i i="2">
      <x v="2"/>
    </i>
    <i i="3">
      <x v="3"/>
    </i>
    <i i="4">
      <x v="4"/>
    </i>
    <i i="5">
      <x v="5"/>
    </i>
  </colItems>
  <dataFields count="6">
    <dataField name="Sum of current" fld="0" baseField="0" baseItem="0"/>
    <dataField name="Sum of Lastyear" fld="1" baseField="0" baseItem="0"/>
    <dataField name="Sum of CurrentSalary" fld="2" baseField="0" baseItem="0"/>
    <dataField name="Sum of Lastyearsalary" fld="3" baseField="0" baseItem="0"/>
    <dataField name="Sum of AvgOfCurrentJOs" fld="4" baseField="0" baseItem="0"/>
    <dataField name="Sum of AvgOfLastYears" fld="5" baseField="0" baseItem="0"/>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2:L74" firstHeaderRow="1" firstDataRow="2" firstDataCol="0"/>
  <pivotFields count="12">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2">
    <i>
      <x/>
    </i>
    <i i="1">
      <x v="1"/>
    </i>
    <i i="2">
      <x v="2"/>
    </i>
    <i i="3">
      <x v="3"/>
    </i>
    <i i="4">
      <x v="4"/>
    </i>
    <i i="5">
      <x v="5"/>
    </i>
    <i i="6">
      <x v="6"/>
    </i>
    <i i="7">
      <x v="7"/>
    </i>
    <i i="8">
      <x v="8"/>
    </i>
    <i i="9">
      <x v="9"/>
    </i>
    <i i="10">
      <x v="10"/>
    </i>
    <i i="11">
      <x v="11"/>
    </i>
  </colItems>
  <dataFields count="12">
    <dataField name="Sum of 1" fld="0" baseField="0" baseItem="0"/>
    <dataField name="Sum of 2" fld="1" baseField="0" baseItem="0"/>
    <dataField name="Sum of 3" fld="2" baseField="0" baseItem="0"/>
    <dataField name="Sum of 4" fld="3" baseField="0" baseItem="0"/>
    <dataField name="Sum of 5" fld="4" baseField="0" baseItem="0"/>
    <dataField name="Sum of 6" fld="5" baseField="0" baseItem="0"/>
    <dataField name="Sum of 7" fld="6" baseField="0" baseItem="0"/>
    <dataField name="Sum of 8" fld="7" baseField="0" baseItem="0"/>
    <dataField name="Sum of 9" fld="8" baseField="0" baseItem="0"/>
    <dataField name="Sum of 10" fld="9" baseField="0" baseItem="0"/>
    <dataField name="Sum of 11" fld="10" baseField="0" baseItem="0"/>
    <dataField name="Sum of 12" fld="11" baseField="0" baseItem="0"/>
  </dataField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4" cacheId="1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54:G69" firstHeaderRow="1" firstDataRow="2" firstDataCol="1"/>
  <pivotFields count="9">
    <pivotField axis="axisRow" showAll="0">
      <items count="14">
        <item x="0"/>
        <item x="5"/>
        <item x="6"/>
        <item x="7"/>
        <item x="8"/>
        <item x="9"/>
        <item x="10"/>
        <item x="11"/>
        <item x="12"/>
        <item x="1"/>
        <item x="2"/>
        <item x="3"/>
        <item x="4"/>
        <item t="default"/>
      </items>
    </pivotField>
    <pivotField showAll="0" defaultSubtotal="0"/>
    <pivotField dataField="1"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0"/>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dataFields count="6">
    <dataField name="Sum of 3COUNT OF JOB ORDERS AND JOB OPENINGS_SumOfJOB OPENINGS" fld="2" baseField="0" baseItem="0"/>
    <dataField name="Sum of 3CountOfJobORders1YearAgo_SumOfJOB OPENINGS" fld="4" baseField="0" baseItem="0"/>
    <dataField name="Sum of 3CountOfEmployersServed_CountOfEMPLOYER_ID" fld="5" baseField="0" baseItem="0"/>
    <dataField name="Sum of 3CountOfEmployersServed1YearAgo_CountOfEMPLOYER_ID" fld="6" baseField="0" baseItem="0"/>
    <dataField name="Sum of 4CountAllJobOrders_CountOfJOB_ORDER_ID" fld="7" baseField="0" baseItem="0"/>
    <dataField name="Sum of lastyearJOS" fld="8" baseField="0" baseItem="0"/>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I16" firstHeaderRow="1" firstDataRow="2" firstDataCol="1"/>
  <pivotFields count="9">
    <pivotField axis="axisRow" showAll="0" sortType="ascending">
      <items count="14">
        <item x="0"/>
        <item x="4"/>
        <item x="5"/>
        <item x="6"/>
        <item x="7"/>
        <item x="8"/>
        <item x="9"/>
        <item x="10"/>
        <item x="11"/>
        <item x="1"/>
        <item x="2"/>
        <item x="3"/>
        <item m="1" x="12"/>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all" fld="1" baseField="0" baseItem="0"/>
    <dataField name="Sum of self" fld="2" baseField="0" baseItem="0"/>
    <dataField name="Sum of staffassist" fld="3" baseField="0" baseItem="0"/>
    <dataField name="Sum of core" fld="4" baseField="0" baseItem="0"/>
    <dataField name="Sum of coreint" fld="5" baseField="0" baseItem="0"/>
    <dataField name="Sum of newtraining" fld="6" baseField="0" baseItem="0"/>
    <dataField name="Sum of ongoing" fld="7" baseField="0" baseItem="0"/>
    <dataField name="Sum of complete" fld="8" baseField="0" baseItem="0"/>
  </dataFields>
  <formats count="1">
    <format dxfId="11">
      <pivotArea dataOnly="0" labelOnly="1" fieldPosition="0">
        <references count="1">
          <reference field="0" count="0"/>
        </references>
      </pivotArea>
    </format>
  </format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PivotTable6"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83:D198" firstHeaderRow="1" firstDataRow="2" firstDataCol="1"/>
  <pivotFields count="4">
    <pivotField axis="axisRow" showAll="0">
      <items count="14">
        <item x="0"/>
        <item x="1"/>
        <item x="2"/>
        <item x="3"/>
        <item x="4"/>
        <item x="5"/>
        <item x="6"/>
        <item x="7"/>
        <item x="8"/>
        <item x="9"/>
        <item x="10"/>
        <item x="11"/>
        <item x="12"/>
        <item t="default"/>
      </items>
    </pivotField>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3">
    <i>
      <x/>
    </i>
    <i i="1">
      <x v="1"/>
    </i>
    <i i="2">
      <x v="2"/>
    </i>
  </colItems>
  <dataFields count="3">
    <dataField name="Sum of OVER25COUNT_CountOfSEEKERID" fld="1" baseField="0" baseItem="0"/>
    <dataField name="Sum of HSCOUNT_CountOfSEEKERID" fld="2" baseField="0" baseItem="0"/>
    <dataField name="Sum of COLLEGECOUNT_CountOfSEEKERID" fld="3" baseField="0" baseItem="0"/>
  </dataField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PivotTable20" cacheId="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02:F116" firstHeaderRow="1" firstDataRow="2" firstDataCol="1"/>
  <pivotFields count="6">
    <pivotField axis="axisRow" showAll="0">
      <items count="13">
        <item x="0"/>
        <item x="1"/>
        <item x="2"/>
        <item x="3"/>
        <item x="4"/>
        <item x="5"/>
        <item x="6"/>
        <item x="7"/>
        <item x="8"/>
        <item x="9"/>
        <item x="10"/>
        <item x="11"/>
        <item t="default"/>
      </items>
    </pivotField>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Sum of CountOfSEEKERID" fld="1" baseField="0" baseItem="0"/>
    <dataField name="Sum of CountOfSERVICEDATE" fld="2" baseField="0" baseItem="0"/>
    <dataField name="Sum of NewWages" fld="4" baseField="0" baseItem="0"/>
    <dataField name="Sum of OldWages" fld="3" baseField="0" baseItem="0"/>
    <dataField name="Sum of AvgOfDuration" fld="5" baseField="0" baseItem="0"/>
  </dataField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PivotTable3" cacheId="1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37:I51" firstHeaderRow="1" firstDataRow="2" firstDataCol="1"/>
  <pivotFields count="9">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program" fld="1" baseField="0" baseItem="0"/>
    <dataField name="Sum of program1yearago" fld="2" baseField="0" baseItem="0"/>
    <dataField name="Sum of wiacurrent" fld="3" baseField="0" baseItem="0"/>
    <dataField name="Sum of wia1yearago" fld="4" baseField="0" baseItem="0"/>
    <dataField name="Sum of wianewcurrent" fld="5" baseField="0" baseItem="0"/>
    <dataField name="Sum of wianew1yearago" fld="6" baseField="0" baseItem="0"/>
    <dataField name="Sum of wiaexitcurrent" fld="7" baseField="0" baseItem="0"/>
    <dataField name="Sum of wiaexit1yearago" fld="8" baseField="0" baseItem="0"/>
  </dataField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PivotTable11"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48:F163" firstHeaderRow="1" firstDataRow="2" firstDataCol="1"/>
  <pivotFields count="6">
    <pivotField axis="axisRow" showAll="0">
      <items count="14">
        <item x="0"/>
        <item x="1"/>
        <item x="2"/>
        <item x="3"/>
        <item x="4"/>
        <item x="5"/>
        <item x="6"/>
        <item x="7"/>
        <item x="8"/>
        <item x="9"/>
        <item x="10"/>
        <item x="11"/>
        <item x="12"/>
        <item t="default"/>
      </items>
    </pivotField>
    <pivotField dataField="1" showAll="0" defaultSubtotal="0"/>
    <pivotField dataField="1" showAll="0"/>
    <pivotField dataField="1" showAll="0"/>
    <pivotField dataField="1" showAll="0"/>
    <pivotField dataField="1" showAll="0"/>
  </pivotFields>
  <rowFields count="1">
    <field x="0"/>
  </rowFields>
  <rowItems count="14">
    <i>
      <x/>
    </i>
    <i>
      <x v="1"/>
    </i>
    <i>
      <x v="2"/>
    </i>
    <i>
      <x v="3"/>
    </i>
    <i>
      <x v="4"/>
    </i>
    <i>
      <x v="5"/>
    </i>
    <i>
      <x v="6"/>
    </i>
    <i>
      <x v="7"/>
    </i>
    <i>
      <x v="8"/>
    </i>
    <i>
      <x v="9"/>
    </i>
    <i>
      <x v="10"/>
    </i>
    <i>
      <x v="11"/>
    </i>
    <i>
      <x v="12"/>
    </i>
    <i t="grand">
      <x/>
    </i>
  </rowItems>
  <colFields count="1">
    <field x="-2"/>
  </colFields>
  <colItems count="5">
    <i>
      <x/>
    </i>
    <i i="1">
      <x v="1"/>
    </i>
    <i i="2">
      <x v="2"/>
    </i>
    <i i="3">
      <x v="3"/>
    </i>
    <i i="4">
      <x v="4"/>
    </i>
  </colItems>
  <dataFields count="5">
    <dataField name="Sum of EOSeekersServedCount_CountOfSEEKERID" fld="1" baseField="0" baseItem="0"/>
    <dataField name="Sum of EOGenderCount_CountOfSEEKERID" fld="2" baseField="0" baseItem="0"/>
    <dataField name="Sum of EORaceCount_CountOfSEEKERID" fld="3" baseField="0" baseItem="0"/>
    <dataField name="Sum of EOAgeCount_CountOfSEEKERID" fld="4" baseField="0" baseItem="0"/>
    <dataField name="Sum of EODisabilityCount_CountOfSEEKERID" fld="5" baseField="0" baseItem="0"/>
  </dataFields>
  <pivotTableStyleInfo name="PivotStyleLight16" showRowHeaders="1" showColHeaders="1" showRowStripes="0" showColStripes="0" showLastColumn="1"/>
</pivotTableDefinition>
</file>

<file path=xl/pivotTables/pivotTable17.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76:L78" firstHeaderRow="1" firstDataRow="2" firstDataCol="0"/>
  <pivotFields count="12">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2">
    <i>
      <x/>
    </i>
    <i i="1">
      <x v="1"/>
    </i>
    <i i="2">
      <x v="2"/>
    </i>
    <i i="3">
      <x v="3"/>
    </i>
    <i i="4">
      <x v="4"/>
    </i>
    <i i="5">
      <x v="5"/>
    </i>
    <i i="6">
      <x v="6"/>
    </i>
    <i i="7">
      <x v="7"/>
    </i>
    <i i="8">
      <x v="8"/>
    </i>
    <i i="9">
      <x v="9"/>
    </i>
    <i i="10">
      <x v="10"/>
    </i>
    <i i="11">
      <x v="11"/>
    </i>
  </colItems>
  <dataFields count="12">
    <dataField name="Sum of 1" fld="0" baseField="0" baseItem="0"/>
    <dataField name="Sum of 2" fld="1" baseField="0" baseItem="0"/>
    <dataField name="Sum of 3" fld="2" baseField="0" baseItem="0"/>
    <dataField name="Sum of 4" fld="3" baseField="0" baseItem="0"/>
    <dataField name="Sum of 5" fld="4" baseField="0" baseItem="0"/>
    <dataField name="Sum of 6" fld="5" baseField="0" baseItem="0"/>
    <dataField name="Sum of 7" fld="6" baseField="0" baseItem="0"/>
    <dataField name="Sum of 8" fld="7" baseField="0" baseItem="0"/>
    <dataField name="Sum of 9" fld="8" baseField="0" baseItem="0"/>
    <dataField name="Sum of 10" fld="9" baseField="0" baseItem="0"/>
    <dataField name="Sum of 11" fld="10" baseField="0" baseItem="0"/>
    <dataField name="Sum of 12" fld="11" baseField="0" baseItem="0"/>
  </dataFields>
  <pivotTableStyleInfo name="PivotStyleLight16" showRowHeaders="1" showColHeaders="1" showRowStripes="0" showColStripes="0" showLastColumn="1"/>
</pivotTableDefinition>
</file>

<file path=xl/pivotTables/pivotTable18.xml><?xml version="1.0" encoding="utf-8"?>
<pivotTableDefinition xmlns="http://schemas.openxmlformats.org/spreadsheetml/2006/main" name="PivotTable8" cacheId="1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82:I96" firstHeaderRow="1" firstDataRow="2" firstDataCol="1"/>
  <pivotFields count="9">
    <pivotField axis="axisRow" showAll="0">
      <items count="13">
        <item x="0"/>
        <item x="4"/>
        <item x="5"/>
        <item x="6"/>
        <item x="7"/>
        <item x="8"/>
        <item x="9"/>
        <item x="10"/>
        <item x="11"/>
        <item x="1"/>
        <item x="2"/>
        <item x="3"/>
        <item t="default"/>
      </items>
    </pivotField>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dataField="1" showAll="0" defaultSubtota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current" fld="1" baseField="0" baseItem="0"/>
    <dataField name="Sum of Currentsalary" fld="3" baseField="0" baseItem="0"/>
    <dataField name="Sum of Lastyear" fld="2" baseField="0" baseItem="0"/>
    <dataField name="Sum of Lastyearsalary" fld="4" baseField="0" baseItem="0"/>
    <dataField name="Sum of 4JobOrdersMatching NAICS_CountOfJOB_ORDER_ID" fld="7" baseField="0" baseItem="0"/>
    <dataField name="Sum of 4JobOrdersMatching NAICS LastYear_CountOfJOB_ORDER_ID" fld="8" baseField="0" baseItem="0"/>
    <dataField name="Sum of CurrentJOs" fld="5" baseField="0" baseItem="0"/>
    <dataField name="Sum of LastYears" fld="6" baseField="0" baseItem="0"/>
  </dataFields>
  <pivotTableStyleInfo name="PivotStyleLight16" showRowHeaders="1" showColHeaders="1" showRowStripes="0" showColStripes="0" showLastColumn="1"/>
</pivotTableDefinition>
</file>

<file path=xl/pivotTables/pivotTable19.xml><?xml version="1.0" encoding="utf-8"?>
<pivotTableDefinition xmlns="http://schemas.openxmlformats.org/spreadsheetml/2006/main" name="PivotTable12" cacheId="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166:I180" firstHeaderRow="1" firstDataRow="2" firstDataCol="1"/>
  <pivotFields count="9">
    <pivotField axis="axisRow" showAll="0">
      <items count="13">
        <item x="0"/>
        <item x="9"/>
        <item x="10"/>
        <item x="11"/>
        <item x="1"/>
        <item x="2"/>
        <item x="3"/>
        <item x="4"/>
        <item x="5"/>
        <item x="6"/>
        <item x="7"/>
        <item x="8"/>
        <item t="default"/>
      </items>
    </pivotField>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s>
  <rowFields count="1">
    <field x="0"/>
  </rowFields>
  <rowItems count="13">
    <i>
      <x/>
    </i>
    <i>
      <x v="1"/>
    </i>
    <i>
      <x v="2"/>
    </i>
    <i>
      <x v="3"/>
    </i>
    <i>
      <x v="4"/>
    </i>
    <i>
      <x v="5"/>
    </i>
    <i>
      <x v="6"/>
    </i>
    <i>
      <x v="7"/>
    </i>
    <i>
      <x v="8"/>
    </i>
    <i>
      <x v="9"/>
    </i>
    <i>
      <x v="10"/>
    </i>
    <i>
      <x v="11"/>
    </i>
    <i t="grand">
      <x/>
    </i>
  </rowItems>
  <colFields count="1">
    <field x="-2"/>
  </colFields>
  <colItems count="8">
    <i>
      <x/>
    </i>
    <i i="1">
      <x v="1"/>
    </i>
    <i i="2">
      <x v="2"/>
    </i>
    <i i="3">
      <x v="3"/>
    </i>
    <i i="4">
      <x v="4"/>
    </i>
    <i i="5">
      <x v="5"/>
    </i>
    <i i="6">
      <x v="6"/>
    </i>
    <i i="7">
      <x v="7"/>
    </i>
  </colItems>
  <dataFields count="8">
    <dataField name="Sum of EOWIASEEKERCOUNT_CountOfSEEKER_ID" fld="1" baseField="0" baseItem="0"/>
    <dataField name="Sum of EOWIAGENDERCOUNT_CountOfSEEKER_ID" fld="2" baseField="0" baseItem="0"/>
    <dataField name="Sum of EOWIARACECOUNT_CountOfSEEKER_ID" fld="3" baseField="0" baseItem="0"/>
    <dataField name="Sum of EOWIAAGECOUNT_CountOfSEEKER_ID" fld="4" baseField="0" baseItem="0"/>
    <dataField name="Sum of EOWIADSISABILITYCOUNT_CountOfSEEKER_ID" fld="5" baseField="0" baseItem="0"/>
    <dataField name="Sum of EDUCATIONWIACOUNT_CountOfSEEKER_ID" fld="6" baseField="0" baseItem="0"/>
    <dataField name="Sum of HSWIACOUNT_CountOfSEEKER_ID" fld="7" baseField="0" baseItem="0"/>
    <dataField name="Sum of COLLEGEWIACOUNT_CountOfSEEKER_ID" fld="8" baseField="0" baseItem="0"/>
  </dataFields>
  <pivotTableStyleInfo name="PivotStyleLight16" showRowHeaders="1" showColHeaders="1" showRowStripes="0" showColStripes="0" showLastColumn="1"/>
</pivotTableDefinition>
</file>

<file path=xl/pivotTables/pivotTable20.xml><?xml version="1.0" encoding="utf-8"?>
<pivotTableDefinition xmlns="http://schemas.openxmlformats.org/spreadsheetml/2006/main" name="PivotTable2" cacheId="1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fieldListSortAscending="1">
  <location ref="A20:E34" firstHeaderRow="1" firstDataRow="2" firstDataCol="1"/>
  <pivotFields count="5">
    <pivotField axis="axisRow" showAll="0" defaultSubtotal="0">
      <items count="12">
        <item x="0"/>
        <item x="4"/>
        <item x="5"/>
        <item x="6"/>
        <item x="7"/>
        <item x="8"/>
        <item x="9"/>
        <item x="10"/>
        <item x="11"/>
        <item x="1"/>
        <item x="2"/>
        <item x="3"/>
      </items>
    </pivotField>
    <pivotField dataField="1" showAll="0"/>
    <pivotField dataField="1" showAll="0"/>
    <pivotField dataField="1"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4">
    <i>
      <x/>
    </i>
    <i i="1">
      <x v="1"/>
    </i>
    <i i="2">
      <x v="2"/>
    </i>
    <i i="3">
      <x v="3"/>
    </i>
  </colItems>
  <dataFields count="4">
    <dataField name="Sum of JobSearch" fld="3" baseField="0" baseItem="0"/>
    <dataField name="Sum of Assessments" fld="1" baseField="0" baseItem="0"/>
    <dataField name="Sum of SkillDevelopment" fld="2" baseField="0" baseItem="0"/>
    <dataField name="Sum of CommunityReferral" fld="4" baseField="0" baseItem="0"/>
  </dataFields>
  <pivotTableStyleInfo name="PivotStyleLight16" showRowHeaders="1" showColHeaders="1" showRowStripes="0" showColStripes="0" showLastColumn="1"/>
</pivotTableDefinition>
</file>

<file path=xl/pivotTables/pivotTable21.xml><?xml version="1.0" encoding="utf-8"?>
<pivotTableDefinition xmlns="http://schemas.openxmlformats.org/spreadsheetml/2006/main" name="PivotTable1" cacheId="17" dataOnRows="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M73" firstHeaderRow="1" firstDataRow="2" firstDataCol="1"/>
  <pivotFields count="8">
    <pivotField axis="axisRow" numFmtId="169" showAll="0">
      <items count="14">
        <item x="12"/>
        <item x="0"/>
        <item x="1"/>
        <item x="2"/>
        <item x="3"/>
        <item x="4"/>
        <item x="5"/>
        <item x="6"/>
        <item x="7"/>
        <item x="8"/>
        <item x="9"/>
        <item x="10"/>
        <item x="11"/>
        <item t="default"/>
      </items>
    </pivotField>
    <pivotField showAll="0"/>
    <pivotField axis="axisCol" showAll="0">
      <items count="12">
        <item x="0"/>
        <item x="1"/>
        <item x="2"/>
        <item x="3"/>
        <item x="4"/>
        <item x="5"/>
        <item x="6"/>
        <item x="7"/>
        <item x="8"/>
        <item x="9"/>
        <item x="10"/>
        <item t="default"/>
      </items>
    </pivotField>
    <pivotField dataField="1" numFmtId="3" showAll="0"/>
    <pivotField dataField="1" numFmtId="3" showAll="0"/>
    <pivotField dataField="1" numFmtId="3" showAll="0"/>
    <pivotField showAll="0"/>
    <pivotField dataField="1" numFmtId="10" showAll="0"/>
  </pivotFields>
  <rowFields count="2">
    <field x="0"/>
    <field x="-2"/>
  </rowFields>
  <rowItems count="69">
    <i>
      <x/>
    </i>
    <i r="1">
      <x/>
    </i>
    <i r="1" i="1">
      <x v="1"/>
    </i>
    <i r="1" i="2">
      <x v="2"/>
    </i>
    <i r="1" i="3">
      <x v="3"/>
    </i>
    <i>
      <x v="1"/>
    </i>
    <i r="1">
      <x/>
    </i>
    <i r="1" i="1">
      <x v="1"/>
    </i>
    <i r="1" i="2">
      <x v="2"/>
    </i>
    <i r="1" i="3">
      <x v="3"/>
    </i>
    <i>
      <x v="2"/>
    </i>
    <i r="1">
      <x/>
    </i>
    <i r="1" i="1">
      <x v="1"/>
    </i>
    <i r="1" i="2">
      <x v="2"/>
    </i>
    <i r="1" i="3">
      <x v="3"/>
    </i>
    <i>
      <x v="3"/>
    </i>
    <i r="1">
      <x/>
    </i>
    <i r="1" i="1">
      <x v="1"/>
    </i>
    <i r="1" i="2">
      <x v="2"/>
    </i>
    <i r="1" i="3">
      <x v="3"/>
    </i>
    <i>
      <x v="4"/>
    </i>
    <i r="1">
      <x/>
    </i>
    <i r="1" i="1">
      <x v="1"/>
    </i>
    <i r="1" i="2">
      <x v="2"/>
    </i>
    <i r="1" i="3">
      <x v="3"/>
    </i>
    <i>
      <x v="5"/>
    </i>
    <i r="1">
      <x/>
    </i>
    <i r="1" i="1">
      <x v="1"/>
    </i>
    <i r="1" i="2">
      <x v="2"/>
    </i>
    <i r="1" i="3">
      <x v="3"/>
    </i>
    <i>
      <x v="6"/>
    </i>
    <i r="1">
      <x/>
    </i>
    <i r="1" i="1">
      <x v="1"/>
    </i>
    <i r="1" i="2">
      <x v="2"/>
    </i>
    <i r="1" i="3">
      <x v="3"/>
    </i>
    <i>
      <x v="7"/>
    </i>
    <i r="1">
      <x/>
    </i>
    <i r="1" i="1">
      <x v="1"/>
    </i>
    <i r="1" i="2">
      <x v="2"/>
    </i>
    <i r="1" i="3">
      <x v="3"/>
    </i>
    <i>
      <x v="8"/>
    </i>
    <i r="1">
      <x/>
    </i>
    <i r="1" i="1">
      <x v="1"/>
    </i>
    <i r="1" i="2">
      <x v="2"/>
    </i>
    <i r="1" i="3">
      <x v="3"/>
    </i>
    <i>
      <x v="9"/>
    </i>
    <i r="1">
      <x/>
    </i>
    <i r="1" i="1">
      <x v="1"/>
    </i>
    <i r="1" i="2">
      <x v="2"/>
    </i>
    <i r="1" i="3">
      <x v="3"/>
    </i>
    <i>
      <x v="10"/>
    </i>
    <i r="1">
      <x/>
    </i>
    <i r="1" i="1">
      <x v="1"/>
    </i>
    <i r="1" i="2">
      <x v="2"/>
    </i>
    <i r="1" i="3">
      <x v="3"/>
    </i>
    <i>
      <x v="11"/>
    </i>
    <i r="1">
      <x/>
    </i>
    <i r="1" i="1">
      <x v="1"/>
    </i>
    <i r="1" i="2">
      <x v="2"/>
    </i>
    <i r="1" i="3">
      <x v="3"/>
    </i>
    <i>
      <x v="12"/>
    </i>
    <i r="1">
      <x/>
    </i>
    <i r="1" i="1">
      <x v="1"/>
    </i>
    <i r="1" i="2">
      <x v="2"/>
    </i>
    <i r="1" i="3">
      <x v="3"/>
    </i>
    <i t="grand">
      <x/>
    </i>
    <i t="grand" i="1">
      <x/>
    </i>
    <i t="grand" i="2">
      <x/>
    </i>
    <i t="grand" i="3">
      <x/>
    </i>
  </rowItems>
  <colFields count="1">
    <field x="2"/>
  </colFields>
  <colItems count="12">
    <i>
      <x/>
    </i>
    <i>
      <x v="1"/>
    </i>
    <i>
      <x v="2"/>
    </i>
    <i>
      <x v="3"/>
    </i>
    <i>
      <x v="4"/>
    </i>
    <i>
      <x v="5"/>
    </i>
    <i>
      <x v="6"/>
    </i>
    <i>
      <x v="7"/>
    </i>
    <i>
      <x v="8"/>
    </i>
    <i>
      <x v="9"/>
    </i>
    <i>
      <x v="10"/>
    </i>
    <i t="grand">
      <x/>
    </i>
  </colItems>
  <dataFields count="4">
    <dataField name="Area Labor Force" fld="3" baseField="0" baseItem="0" numFmtId="3"/>
    <dataField name="Area Employed" fld="4" baseField="0" baseItem="0" numFmtId="3"/>
    <dataField name="Area Unemployed" fld="5" baseField="0" baseItem="0" numFmtId="3"/>
    <dataField name="Area Unemployment Rate" fld="7" baseField="0" baseItem="0" numFmtId="164"/>
  </dataFields>
  <pivotTableStyleInfo name="PivotStyleLight16" showRowHeaders="1" showColHeaders="1" showRowStripes="0" showColStripes="0" showLastColumn="1"/>
</pivotTableDefinition>
</file>

<file path=xl/pivotTables/pivotTable22.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CC18" firstHeaderRow="1" firstDataRow="3" firstDataCol="1"/>
  <pivotFields count="11">
    <pivotField showAll="0"/>
    <pivotField showAll="0"/>
    <pivotField axis="axisCol" showAll="0">
      <items count="20">
        <item x="0"/>
        <item x="1"/>
        <item x="2"/>
        <item x="3"/>
        <item x="4"/>
        <item x="5"/>
        <item x="6"/>
        <item x="7"/>
        <item x="8"/>
        <item x="9"/>
        <item x="10"/>
        <item x="11"/>
        <item x="12"/>
        <item x="13"/>
        <item x="14"/>
        <item x="15"/>
        <item x="16"/>
        <item x="17"/>
        <item x="18"/>
        <item t="default"/>
      </items>
    </pivotField>
    <pivotField dataField="1" showAll="0"/>
    <pivotField dataField="1" showAll="0"/>
    <pivotField dataField="1" showAll="0"/>
    <pivotField showAll="0"/>
    <pivotField showAll="0"/>
    <pivotField dataField="1" showAll="0"/>
    <pivotField showAll="0"/>
    <pivotField axis="axisRow" showAll="0">
      <items count="13">
        <item x="3"/>
        <item x="5"/>
        <item x="6"/>
        <item x="10"/>
        <item x="7"/>
        <item x="9"/>
        <item x="4"/>
        <item x="0"/>
        <item x="8"/>
        <item x="1"/>
        <item x="2"/>
        <item x="11"/>
        <item t="default"/>
      </items>
    </pivotField>
  </pivotFields>
  <rowFields count="1">
    <field x="10"/>
  </rowFields>
  <rowItems count="13">
    <i>
      <x/>
    </i>
    <i>
      <x v="1"/>
    </i>
    <i>
      <x v="2"/>
    </i>
    <i>
      <x v="3"/>
    </i>
    <i>
      <x v="4"/>
    </i>
    <i>
      <x v="5"/>
    </i>
    <i>
      <x v="6"/>
    </i>
    <i>
      <x v="7"/>
    </i>
    <i>
      <x v="8"/>
    </i>
    <i>
      <x v="9"/>
    </i>
    <i>
      <x v="10"/>
    </i>
    <i>
      <x v="11"/>
    </i>
    <i t="grand">
      <x/>
    </i>
  </rowItems>
  <colFields count="2">
    <field x="2"/>
    <field x="-2"/>
  </colFields>
  <colItems count="80">
    <i>
      <x/>
      <x/>
    </i>
    <i r="1" i="1">
      <x v="1"/>
    </i>
    <i r="1" i="2">
      <x v="2"/>
    </i>
    <i r="1" i="3">
      <x v="3"/>
    </i>
    <i>
      <x v="1"/>
      <x/>
    </i>
    <i r="1" i="1">
      <x v="1"/>
    </i>
    <i r="1" i="2">
      <x v="2"/>
    </i>
    <i r="1" i="3">
      <x v="3"/>
    </i>
    <i>
      <x v="2"/>
      <x/>
    </i>
    <i r="1" i="1">
      <x v="1"/>
    </i>
    <i r="1" i="2">
      <x v="2"/>
    </i>
    <i r="1" i="3">
      <x v="3"/>
    </i>
    <i>
      <x v="3"/>
      <x/>
    </i>
    <i r="1" i="1">
      <x v="1"/>
    </i>
    <i r="1" i="2">
      <x v="2"/>
    </i>
    <i r="1" i="3">
      <x v="3"/>
    </i>
    <i>
      <x v="4"/>
      <x/>
    </i>
    <i r="1" i="1">
      <x v="1"/>
    </i>
    <i r="1" i="2">
      <x v="2"/>
    </i>
    <i r="1" i="3">
      <x v="3"/>
    </i>
    <i>
      <x v="5"/>
      <x/>
    </i>
    <i r="1" i="1">
      <x v="1"/>
    </i>
    <i r="1" i="2">
      <x v="2"/>
    </i>
    <i r="1" i="3">
      <x v="3"/>
    </i>
    <i>
      <x v="6"/>
      <x/>
    </i>
    <i r="1" i="1">
      <x v="1"/>
    </i>
    <i r="1" i="2">
      <x v="2"/>
    </i>
    <i r="1" i="3">
      <x v="3"/>
    </i>
    <i>
      <x v="7"/>
      <x/>
    </i>
    <i r="1" i="1">
      <x v="1"/>
    </i>
    <i r="1" i="2">
      <x v="2"/>
    </i>
    <i r="1" i="3">
      <x v="3"/>
    </i>
    <i>
      <x v="8"/>
      <x/>
    </i>
    <i r="1" i="1">
      <x v="1"/>
    </i>
    <i r="1" i="2">
      <x v="2"/>
    </i>
    <i r="1" i="3">
      <x v="3"/>
    </i>
    <i>
      <x v="9"/>
      <x/>
    </i>
    <i r="1" i="1">
      <x v="1"/>
    </i>
    <i r="1" i="2">
      <x v="2"/>
    </i>
    <i r="1" i="3">
      <x v="3"/>
    </i>
    <i>
      <x v="10"/>
      <x/>
    </i>
    <i r="1" i="1">
      <x v="1"/>
    </i>
    <i r="1" i="2">
      <x v="2"/>
    </i>
    <i r="1" i="3">
      <x v="3"/>
    </i>
    <i>
      <x v="11"/>
      <x/>
    </i>
    <i r="1" i="1">
      <x v="1"/>
    </i>
    <i r="1" i="2">
      <x v="2"/>
    </i>
    <i r="1" i="3">
      <x v="3"/>
    </i>
    <i>
      <x v="12"/>
      <x/>
    </i>
    <i r="1" i="1">
      <x v="1"/>
    </i>
    <i r="1" i="2">
      <x v="2"/>
    </i>
    <i r="1" i="3">
      <x v="3"/>
    </i>
    <i>
      <x v="13"/>
      <x/>
    </i>
    <i r="1" i="1">
      <x v="1"/>
    </i>
    <i r="1" i="2">
      <x v="2"/>
    </i>
    <i r="1" i="3">
      <x v="3"/>
    </i>
    <i>
      <x v="14"/>
      <x/>
    </i>
    <i r="1" i="1">
      <x v="1"/>
    </i>
    <i r="1" i="2">
      <x v="2"/>
    </i>
    <i r="1" i="3">
      <x v="3"/>
    </i>
    <i>
      <x v="15"/>
      <x/>
    </i>
    <i r="1" i="1">
      <x v="1"/>
    </i>
    <i r="1" i="2">
      <x v="2"/>
    </i>
    <i r="1" i="3">
      <x v="3"/>
    </i>
    <i>
      <x v="16"/>
      <x/>
    </i>
    <i r="1" i="1">
      <x v="1"/>
    </i>
    <i r="1" i="2">
      <x v="2"/>
    </i>
    <i r="1" i="3">
      <x v="3"/>
    </i>
    <i>
      <x v="17"/>
      <x/>
    </i>
    <i r="1" i="1">
      <x v="1"/>
    </i>
    <i r="1" i="2">
      <x v="2"/>
    </i>
    <i r="1" i="3">
      <x v="3"/>
    </i>
    <i>
      <x v="18"/>
      <x/>
    </i>
    <i r="1" i="1">
      <x v="1"/>
    </i>
    <i r="1" i="2">
      <x v="2"/>
    </i>
    <i r="1" i="3">
      <x v="3"/>
    </i>
    <i t="grand">
      <x/>
    </i>
    <i t="grand" i="1">
      <x/>
    </i>
    <i t="grand" i="2">
      <x/>
    </i>
    <i t="grand" i="3">
      <x/>
    </i>
  </colItems>
  <dataFields count="4">
    <dataField name="Sum of TOT_POP" fld="3" baseField="0" baseItem="0"/>
    <dataField name="Sum of TOT_MALE" fld="4" baseField="0" baseItem="0"/>
    <dataField name="Sum of TOT_FEMALE" fld="5" baseField="0" baseItem="0"/>
    <dataField name="Sum of Protected Racial Class" fld="8"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2:K15" totalsRowShown="0" tableBorderDxfId="10">
  <autoFilter ref="A2:K15"/>
  <sortState ref="A3:K15">
    <sortCondition ref="A2:A15"/>
  </sortState>
  <tableColumns count="11">
    <tableColumn id="1" name="Area#"/>
    <tableColumn id="2" name="Workforce Development Area" dataDxfId="9"/>
    <tableColumn id="3" name="Entered Employment" dataDxfId="8"/>
    <tableColumn id="4" name="Entered Employment Base" dataDxfId="7"/>
    <tableColumn id="5" name="Entered Employment Rate" dataDxfId="6"/>
    <tableColumn id="6" name="Employment Retention" dataDxfId="5"/>
    <tableColumn id="7" name="Employment Retention Base" dataDxfId="4"/>
    <tableColumn id="8" name="Employment Retention Rate" dataDxfId="3"/>
    <tableColumn id="9" name="Total Earnings" dataDxfId="2"/>
    <tableColumn id="10" name="Average Earnings Base" dataDxfId="1"/>
    <tableColumn id="11" name="Average Earning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3" Type="http://schemas.openxmlformats.org/officeDocument/2006/relationships/drawing" Target="../drawings/drawing5.xml"/><Relationship Id="rId3" Type="http://schemas.openxmlformats.org/officeDocument/2006/relationships/hyperlink" Target="https://fortress.wa.gov/esd/employmentdata/reports-publications/regional-reports/local-unemployment-statistics" TargetMode="External"/><Relationship Id="rId7" Type="http://schemas.openxmlformats.org/officeDocument/2006/relationships/hyperlink" Target="http://wdr.doleta.gov/directives/corr_doc.cfm?DOCN=2195" TargetMode="External"/><Relationship Id="rId12" Type="http://schemas.openxmlformats.org/officeDocument/2006/relationships/printerSettings" Target="../printerSettings/printerSettings7.bin"/><Relationship Id="rId2" Type="http://schemas.openxmlformats.org/officeDocument/2006/relationships/hyperlink" Target="http://lehd.did.census.gov/cgi-bin/pivot_main?xstate=wa&amp;xstyle=lehd&amp;xyear=2010&amp;xgeographic=WIB&amp;value=00000100&amp;head=Olympic%20WIB&amp;xdata=Avg_New_Hire_Earnings" TargetMode="External"/><Relationship Id="rId16" Type="http://schemas.openxmlformats.org/officeDocument/2006/relationships/image" Target="../media/image3.emf"/><Relationship Id="rId1" Type="http://schemas.openxmlformats.org/officeDocument/2006/relationships/hyperlink" Target="http://www.k12.wa.us/dataadmin/pubdocs/GradDropout/09-10/AppendixC2009-10.xls" TargetMode="External"/><Relationship Id="rId6" Type="http://schemas.openxmlformats.org/officeDocument/2006/relationships/hyperlink" Target="https://fortress.wa.gov/esd/employmentdata/reports-publications/regional-reports/local-unemployment-statistics" TargetMode="External"/><Relationship Id="rId11" Type="http://schemas.openxmlformats.org/officeDocument/2006/relationships/hyperlink" Target="https://fortress.wa.gov/esd/employmentdata/docs/industry-reports/qcew-annual-averages-2010-revised.xlsx" TargetMode="External"/><Relationship Id="rId5" Type="http://schemas.openxmlformats.org/officeDocument/2006/relationships/hyperlink" Target="http://www.statsamerica.org/profiles/sbs_profile_frame.html" TargetMode="External"/><Relationship Id="rId15" Type="http://schemas.openxmlformats.org/officeDocument/2006/relationships/oleObject" Target="../embeddings/oleObject1.bin"/><Relationship Id="rId10" Type="http://schemas.openxmlformats.org/officeDocument/2006/relationships/hyperlink" Target="https://fortress.wa.gov/esd/employmentdata/docs/industry-reports/qcew-annual-averages-2010-revised.xlsx" TargetMode="External"/><Relationship Id="rId4" Type="http://schemas.openxmlformats.org/officeDocument/2006/relationships/hyperlink" Target="http://factfinder.census.gov/servlet/STTable?_bm=y&amp;-geo_id=05000US53031&amp;-qr_name=ACS_2009_5YR_G00_S0101&amp;-ds_name=ACS_2009_5YR_G00_&amp;-redoLog=false" TargetMode="External"/><Relationship Id="rId9" Type="http://schemas.openxmlformats.org/officeDocument/2006/relationships/hyperlink" Target="http://lehd.did.census.gov/cgi-bin/broker?_SERVICE=industry_focus&amp;_PROGRAM=pgm.top_report.sas&amp;_report=no&amp;_question=1+&amp;_state=+&amp;_entity=state&amp;_Ind2=off&amp;_Ind3=off&amp;_output=1&amp;_output=2&amp;_top=10&amp;_question=1&amp;_table=no&amp;_rankings=%20%20%201&amp;_sex=0&amp;_agegroup=A00&amp;_g" TargetMode="External"/><Relationship Id="rId1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rinterSettings" Target="../printerSettings/printerSettings8.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17.xml"/><Relationship Id="rId3" Type="http://schemas.openxmlformats.org/officeDocument/2006/relationships/pivotTable" Target="../pivotTables/pivotTable12.xml"/><Relationship Id="rId7" Type="http://schemas.openxmlformats.org/officeDocument/2006/relationships/pivotTable" Target="../pivotTables/pivotTable16.xml"/><Relationship Id="rId12" Type="http://schemas.openxmlformats.org/officeDocument/2006/relationships/printerSettings" Target="../printerSettings/printerSettings9.bin"/><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11" Type="http://schemas.openxmlformats.org/officeDocument/2006/relationships/pivotTable" Target="../pivotTables/pivotTable20.xml"/><Relationship Id="rId5" Type="http://schemas.openxmlformats.org/officeDocument/2006/relationships/pivotTable" Target="../pivotTables/pivotTable14.xml"/><Relationship Id="rId10" Type="http://schemas.openxmlformats.org/officeDocument/2006/relationships/pivotTable" Target="../pivotTables/pivotTable19.xml"/><Relationship Id="rId4" Type="http://schemas.openxmlformats.org/officeDocument/2006/relationships/pivotTable" Target="../pivotTables/pivotTable13.xml"/><Relationship Id="rId9" Type="http://schemas.openxmlformats.org/officeDocument/2006/relationships/pivotTable" Target="../pivotTables/pivotTable1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2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T74"/>
  <sheetViews>
    <sheetView tabSelected="1" zoomScale="85" zoomScaleNormal="85" workbookViewId="0"/>
  </sheetViews>
  <sheetFormatPr defaultRowHeight="18.75" x14ac:dyDescent="0.3"/>
  <cols>
    <col min="1" max="1" width="6.3984375" customWidth="1"/>
    <col min="2" max="2" width="26.796875" style="9" customWidth="1"/>
    <col min="3" max="3" width="15" style="150" customWidth="1"/>
    <col min="4" max="4" width="19.19921875" style="150" customWidth="1"/>
    <col min="5" max="5" width="3.19921875" style="82" customWidth="1"/>
    <col min="6" max="6" width="27.09765625" style="12" customWidth="1"/>
    <col min="7" max="7" width="23.3984375" style="12" customWidth="1"/>
    <col min="8" max="8" width="14.59765625" style="12" customWidth="1"/>
    <col min="9" max="9" width="11.09765625" style="2" customWidth="1"/>
    <col min="10" max="10" width="12.59765625" style="2" customWidth="1"/>
    <col min="11" max="11" width="3.3984375" customWidth="1"/>
    <col min="12" max="12" width="20.09765625" customWidth="1"/>
    <col min="13" max="13" width="14.09765625" bestFit="1" customWidth="1"/>
    <col min="14" max="14" width="11.3984375" customWidth="1"/>
    <col min="15" max="15" width="10.5" bestFit="1" customWidth="1"/>
  </cols>
  <sheetData>
    <row r="1" spans="1:15" ht="35.25" customHeight="1" thickBot="1" x14ac:dyDescent="0.5">
      <c r="A1" s="437">
        <f>VLOOKUP(B1,Lists!F2:G13,2,)</f>
        <v>1</v>
      </c>
      <c r="B1" s="421" t="s">
        <v>102</v>
      </c>
      <c r="C1" s="579" t="s">
        <v>403</v>
      </c>
      <c r="D1" s="579">
        <v>2011</v>
      </c>
      <c r="E1" s="422"/>
      <c r="F1" s="580" t="s">
        <v>437</v>
      </c>
      <c r="G1" s="580" t="str">
        <f>VLOOKUP(F1,Lists!A20:I32,9,)</f>
        <v>OCT-DEC 2011</v>
      </c>
      <c r="H1" s="433" t="str">
        <f>VLOOKUP(B1,Lists!A2:C13,3,)</f>
        <v>I</v>
      </c>
      <c r="I1" s="423"/>
      <c r="J1" s="424"/>
      <c r="K1" s="425"/>
      <c r="L1" s="235"/>
      <c r="M1" s="235"/>
      <c r="N1" s="235"/>
      <c r="O1" s="235"/>
    </row>
    <row r="2" spans="1:15" s="21" customFormat="1" ht="27.75" customHeight="1" x14ac:dyDescent="0.5">
      <c r="A2" s="426"/>
      <c r="B2" s="609" t="s">
        <v>230</v>
      </c>
      <c r="C2" s="609"/>
      <c r="D2" s="609"/>
      <c r="E2" s="427"/>
      <c r="F2" s="607" t="s">
        <v>231</v>
      </c>
      <c r="G2" s="607"/>
      <c r="H2" s="607"/>
      <c r="I2" s="607"/>
      <c r="J2" s="607"/>
      <c r="K2" s="608"/>
      <c r="L2" s="237"/>
      <c r="M2" s="235"/>
      <c r="N2" s="235"/>
      <c r="O2" s="235"/>
    </row>
    <row r="3" spans="1:15" ht="15" customHeight="1" x14ac:dyDescent="0.3">
      <c r="A3" s="428"/>
      <c r="B3" s="283" t="s">
        <v>92</v>
      </c>
      <c r="C3" s="292"/>
      <c r="D3" s="293"/>
      <c r="E3" s="427"/>
      <c r="F3" s="238" t="s">
        <v>1</v>
      </c>
      <c r="G3" s="238" t="s">
        <v>29</v>
      </c>
      <c r="H3" s="238" t="s">
        <v>33</v>
      </c>
      <c r="I3" s="238" t="s">
        <v>55</v>
      </c>
      <c r="J3" s="238" t="s">
        <v>108</v>
      </c>
      <c r="K3" s="429"/>
      <c r="L3" s="239"/>
      <c r="M3" s="239"/>
      <c r="N3" s="239"/>
      <c r="O3" s="239"/>
    </row>
    <row r="4" spans="1:15" s="2" customFormat="1" ht="17.25" customHeight="1" x14ac:dyDescent="0.3">
      <c r="A4" s="430"/>
      <c r="B4" s="259" t="s">
        <v>8</v>
      </c>
      <c r="C4" s="259" t="s">
        <v>228</v>
      </c>
      <c r="D4" s="259" t="s">
        <v>229</v>
      </c>
      <c r="E4" s="295"/>
      <c r="F4" s="252" t="s">
        <v>30</v>
      </c>
      <c r="G4" s="253">
        <f>VLOOKUP($A$1,'Common Measures'!$A$3:$K$15,3,)</f>
        <v>8023</v>
      </c>
      <c r="H4" s="253">
        <f>VLOOKUP($A$1,'Common Measures'!$A$3:$K$15,4,)</f>
        <v>16056</v>
      </c>
      <c r="I4" s="296">
        <f>VLOOKUP($A$1,'Common Measures'!$A$3:$K$15,5,)</f>
        <v>0.5</v>
      </c>
      <c r="J4" s="297">
        <v>0.52</v>
      </c>
      <c r="K4" s="431"/>
      <c r="L4" s="241"/>
      <c r="M4" s="241"/>
      <c r="N4" s="241"/>
      <c r="O4" s="241"/>
    </row>
    <row r="5" spans="1:15" ht="15" customHeight="1" x14ac:dyDescent="0.3">
      <c r="A5" s="428"/>
      <c r="B5" s="242" t="s">
        <v>8</v>
      </c>
      <c r="C5" s="243">
        <f>GETPIVOTDATA("Sum of all",'Area Pivot Tables'!$A$2,"REGION_ID",A1)</f>
        <v>9102</v>
      </c>
      <c r="D5" s="244"/>
      <c r="E5" s="298"/>
      <c r="F5" s="252" t="s">
        <v>11</v>
      </c>
      <c r="G5" s="253">
        <f>VLOOKUP('Area Data'!A1,'Common Measures'!$A$19:$AK$31,2,)</f>
        <v>128</v>
      </c>
      <c r="H5" s="253">
        <f>VLOOKUP('Area Data'!A1,'Common Measures'!$A$19:$AK$31,3,)</f>
        <v>162</v>
      </c>
      <c r="I5" s="297">
        <f>VLOOKUP('Area Data'!A1,'Common Measures'!$A$19:$AK$31,4,)</f>
        <v>0.79012345679012341</v>
      </c>
      <c r="J5" s="297">
        <f>VLOOKUP('Area Data'!A1,'Common Measures'!$A$19:$AK$31,5,)</f>
        <v>0.77500000000000002</v>
      </c>
      <c r="K5" s="429"/>
      <c r="L5" s="239"/>
      <c r="M5" s="239"/>
      <c r="N5" s="239"/>
      <c r="O5" s="239"/>
    </row>
    <row r="6" spans="1:15" ht="15" customHeight="1" x14ac:dyDescent="0.3">
      <c r="A6" s="428"/>
      <c r="B6" s="245" t="s">
        <v>97</v>
      </c>
      <c r="C6" s="243">
        <f>GETPIVOTDATA("Sum of staffassist",'Area Pivot Tables'!$A$2,"REGION_ID",A1)</f>
        <v>5251</v>
      </c>
      <c r="D6" s="244">
        <f>C6/C5</f>
        <v>0.57690617446715009</v>
      </c>
      <c r="E6" s="298"/>
      <c r="F6" s="252" t="s">
        <v>31</v>
      </c>
      <c r="G6" s="253">
        <f>VLOOKUP('Area Data'!A1,'Common Measures'!$A$19:$AK$31,14,)</f>
        <v>191</v>
      </c>
      <c r="H6" s="253">
        <f>VLOOKUP('Area Data'!A1,'Common Measures'!$A$19:$AK$31,15,)</f>
        <v>238</v>
      </c>
      <c r="I6" s="297">
        <f>VLOOKUP('Area Data'!A1,'Common Measures'!$A$19:$AK$31,16,)</f>
        <v>0.80252100840336138</v>
      </c>
      <c r="J6" s="297">
        <f>VLOOKUP('Area Data'!A1,'Common Measures'!$A$19:$AK$31,17,)</f>
        <v>0.77400000000000002</v>
      </c>
      <c r="K6" s="429"/>
      <c r="L6" s="239"/>
      <c r="M6" s="239"/>
      <c r="N6" s="239"/>
      <c r="O6" s="239"/>
    </row>
    <row r="7" spans="1:15" ht="15" customHeight="1" x14ac:dyDescent="0.3">
      <c r="A7" s="428"/>
      <c r="B7" s="245" t="s">
        <v>51</v>
      </c>
      <c r="C7" s="243">
        <f>GETPIVOTDATA("Sum of self",'Area Pivot Tables'!$A$2,"REGION_ID",A1)</f>
        <v>3851</v>
      </c>
      <c r="D7" s="244">
        <f>C7/C5</f>
        <v>0.42309382553284991</v>
      </c>
      <c r="E7" s="298"/>
      <c r="F7" s="246" t="s">
        <v>2</v>
      </c>
      <c r="G7" s="246" t="s">
        <v>32</v>
      </c>
      <c r="H7" s="246" t="s">
        <v>33</v>
      </c>
      <c r="I7" s="246" t="s">
        <v>0</v>
      </c>
      <c r="J7" s="246" t="s">
        <v>108</v>
      </c>
      <c r="K7" s="429"/>
      <c r="L7" s="239"/>
      <c r="M7" s="239"/>
      <c r="N7" s="239"/>
      <c r="O7" s="239"/>
    </row>
    <row r="8" spans="1:15" s="2" customFormat="1" ht="17.25" customHeight="1" x14ac:dyDescent="0.3">
      <c r="A8" s="428"/>
      <c r="B8" s="259"/>
      <c r="C8" s="259" t="s">
        <v>228</v>
      </c>
      <c r="D8" s="259" t="s">
        <v>227</v>
      </c>
      <c r="E8" s="295"/>
      <c r="F8" s="252" t="s">
        <v>30</v>
      </c>
      <c r="G8" s="253">
        <f>VLOOKUP($A$1,'Common Measures'!$A$3:$K$15,6,)</f>
        <v>7707</v>
      </c>
      <c r="H8" s="253">
        <f>VLOOKUP($A$1,'Common Measures'!$A$3:$K$15,7,)</f>
        <v>9824</v>
      </c>
      <c r="I8" s="296">
        <f>VLOOKUP($A$1,'Common Measures'!$A$3:$K$15,8,)</f>
        <v>0.78</v>
      </c>
      <c r="J8" s="297">
        <v>0.76600000000000001</v>
      </c>
      <c r="K8" s="431"/>
      <c r="L8" s="247"/>
      <c r="M8" s="241"/>
      <c r="N8" s="241"/>
      <c r="O8" s="241"/>
    </row>
    <row r="9" spans="1:15" ht="15" customHeight="1" x14ac:dyDescent="0.3">
      <c r="A9" s="430"/>
      <c r="B9" s="245" t="s">
        <v>52</v>
      </c>
      <c r="C9" s="243">
        <f>GETPIVOTDATA("Sum of core",'Area Pivot Tables'!$A$2,"REGION_ID",A1)</f>
        <v>4510</v>
      </c>
      <c r="D9" s="244">
        <f>C9/$C$6</f>
        <v>0.85888402209103032</v>
      </c>
      <c r="E9" s="298"/>
      <c r="F9" s="252" t="s">
        <v>11</v>
      </c>
      <c r="G9" s="253">
        <f>VLOOKUP('Area Data'!A1,'Common Measures'!$A$19:$AK$31,6,)</f>
        <v>142</v>
      </c>
      <c r="H9" s="253">
        <f>VLOOKUP('Area Data'!A1,'Common Measures'!$A$19:$AK$31,7,)</f>
        <v>170</v>
      </c>
      <c r="I9" s="297">
        <f>VLOOKUP('Area Data'!A1,'Common Measures'!$A$19:$AK$31,8,)</f>
        <v>0.83529411764705885</v>
      </c>
      <c r="J9" s="297">
        <f>VLOOKUP('Area Data'!A1,'Common Measures'!$A$19:$AK$31,9,)</f>
        <v>0.82</v>
      </c>
      <c r="K9" s="429"/>
      <c r="L9" s="239"/>
      <c r="M9" s="239"/>
      <c r="N9" s="239"/>
      <c r="O9" s="239"/>
    </row>
    <row r="10" spans="1:15" ht="15" customHeight="1" x14ac:dyDescent="0.3">
      <c r="A10" s="428"/>
      <c r="B10" s="245" t="s">
        <v>49</v>
      </c>
      <c r="C10" s="243">
        <f>GETPIVOTDATA("Sum of coreint",'Area Pivot Tables'!$A$2,"REGION_ID",A1)</f>
        <v>630</v>
      </c>
      <c r="D10" s="244">
        <f>C10/$C$6</f>
        <v>0.11997714721005523</v>
      </c>
      <c r="E10" s="298"/>
      <c r="F10" s="252" t="s">
        <v>31</v>
      </c>
      <c r="G10" s="253">
        <f>VLOOKUP('Area Data'!A1,'Common Measures'!$A$19:$AK$31,18,)</f>
        <v>144</v>
      </c>
      <c r="H10" s="253">
        <f>VLOOKUP('Area Data'!A1,'Common Measures'!$A$19:$AK$31,19,)</f>
        <v>167</v>
      </c>
      <c r="I10" s="297">
        <f>VLOOKUP('Area Data'!A1,'Common Measures'!$A$19:$AK$31,20,)</f>
        <v>0.86227544910179643</v>
      </c>
      <c r="J10" s="297">
        <f>VLOOKUP('Area Data'!A1,'Common Measures'!$A$19:$AK$31,21,)</f>
        <v>0.84199999999999997</v>
      </c>
      <c r="K10" s="429"/>
      <c r="L10" s="239"/>
      <c r="M10" s="239"/>
      <c r="N10" s="239"/>
      <c r="O10" s="239"/>
    </row>
    <row r="11" spans="1:15" ht="15" customHeight="1" x14ac:dyDescent="0.3">
      <c r="A11" s="428"/>
      <c r="B11" s="245" t="s">
        <v>98</v>
      </c>
      <c r="C11" s="248">
        <f>GETPIVOTDATA("Sum of newtraining",'Area Pivot Tables'!$A$2,"REGION_ID",A1)</f>
        <v>99</v>
      </c>
      <c r="D11" s="244">
        <f>C11/$C$6</f>
        <v>1.8853551704437251E-2</v>
      </c>
      <c r="E11" s="298"/>
      <c r="F11" s="246" t="s">
        <v>3</v>
      </c>
      <c r="G11" s="246" t="s">
        <v>34</v>
      </c>
      <c r="H11" s="246" t="s">
        <v>33</v>
      </c>
      <c r="I11" s="246" t="s">
        <v>0</v>
      </c>
      <c r="J11" s="246" t="s">
        <v>108</v>
      </c>
      <c r="K11" s="429"/>
      <c r="L11" s="239"/>
      <c r="M11" s="239"/>
      <c r="N11" s="239"/>
      <c r="O11" s="239"/>
    </row>
    <row r="12" spans="1:15" ht="15" customHeight="1" x14ac:dyDescent="0.3">
      <c r="A12" s="428"/>
      <c r="B12" s="245" t="s">
        <v>99</v>
      </c>
      <c r="C12" s="243">
        <f>GETPIVOTDATA("Sum of ongoing",'Area Pivot Tables'!$A$2,"REGION_ID",A1)</f>
        <v>380</v>
      </c>
      <c r="D12" s="244">
        <f>C12/$C$6</f>
        <v>7.2367168158446016E-2</v>
      </c>
      <c r="E12" s="298"/>
      <c r="F12" s="252" t="s">
        <v>30</v>
      </c>
      <c r="G12" s="299">
        <f>VLOOKUP($A$1,'Common Measures'!$A$3:$K$15,9,)</f>
        <v>105237427</v>
      </c>
      <c r="H12" s="300">
        <f>VLOOKUP($A$1,'Common Measures'!$A$3:$K$15,10,)</f>
        <v>7653</v>
      </c>
      <c r="I12" s="299">
        <f>VLOOKUP($A$1,'Common Measures'!$A$3:$K$15,11,)</f>
        <v>13751</v>
      </c>
      <c r="J12" s="301">
        <f>'Common Measures'!G16</f>
        <v>13500</v>
      </c>
      <c r="K12" s="429"/>
      <c r="L12" s="239"/>
      <c r="M12" s="239"/>
      <c r="N12" s="239"/>
      <c r="O12" s="239"/>
    </row>
    <row r="13" spans="1:15" ht="15" customHeight="1" x14ac:dyDescent="0.3">
      <c r="A13" s="428"/>
      <c r="B13" s="249" t="s">
        <v>37</v>
      </c>
      <c r="C13" s="250">
        <f>GETPIVOTDATA("Sum of complete",'Area Pivot Tables'!$A$2,"REGION_ID",A1)</f>
        <v>102</v>
      </c>
      <c r="D13" s="244">
        <f>C13/$C$6</f>
        <v>1.9424871453056561E-2</v>
      </c>
      <c r="E13" s="298"/>
      <c r="F13" s="252" t="s">
        <v>11</v>
      </c>
      <c r="G13" s="253">
        <f>VLOOKUP('Area Data'!A1,'Common Measures'!$A$19:$AK$31,10,)</f>
        <v>1949454</v>
      </c>
      <c r="H13" s="253">
        <f>VLOOKUP('Area Data'!A1,'Common Measures'!$A$19:$AK$31,11,)</f>
        <v>137</v>
      </c>
      <c r="I13" s="301">
        <f>VLOOKUP('Area Data'!A1,'Common Measures'!$A$19:$AK$31,12,)</f>
        <v>14229.591240875912</v>
      </c>
      <c r="J13" s="301">
        <f>VLOOKUP('Area Data'!A1,'Common Measures'!$A$19:$AK$31,13,)</f>
        <v>9721</v>
      </c>
      <c r="K13" s="429"/>
      <c r="L13" s="239"/>
      <c r="M13" s="239"/>
      <c r="N13" s="239"/>
      <c r="O13" s="239"/>
    </row>
    <row r="14" spans="1:15" ht="15" customHeight="1" x14ac:dyDescent="0.3">
      <c r="A14" s="428"/>
      <c r="B14" s="259" t="s">
        <v>93</v>
      </c>
      <c r="C14" s="259" t="s">
        <v>228</v>
      </c>
      <c r="D14" s="259" t="s">
        <v>227</v>
      </c>
      <c r="E14" s="298"/>
      <c r="F14" s="252" t="s">
        <v>31</v>
      </c>
      <c r="G14" s="253">
        <f>VLOOKUP('Area Data'!A1,'Common Measures'!$A$19:$AK$31,22,)</f>
        <v>2305371</v>
      </c>
      <c r="H14" s="253">
        <f>VLOOKUP('Area Data'!A1,'Common Measures'!$A$19:$AK$31,23,)</f>
        <v>134</v>
      </c>
      <c r="I14" s="301">
        <f>VLOOKUP('Area Data'!A1,'Common Measures'!$A$19:$AK$31,24,)</f>
        <v>17204.261194029852</v>
      </c>
      <c r="J14" s="301">
        <f>VLOOKUP('Area Data'!A1,'Common Measures'!$A$19:$AK$31,25,)</f>
        <v>14926</v>
      </c>
      <c r="K14" s="429"/>
      <c r="L14" s="239"/>
      <c r="M14" s="251"/>
      <c r="N14" s="251"/>
      <c r="O14" s="251"/>
    </row>
    <row r="15" spans="1:15" ht="15" customHeight="1" x14ac:dyDescent="0.3">
      <c r="A15" s="428"/>
      <c r="B15" s="252" t="s">
        <v>348</v>
      </c>
      <c r="C15" s="253">
        <f>GETPIVOTDATA("Sum of JobSearch",'Area Pivot Tables'!$A$20,"REGIONID",A1)</f>
        <v>3888</v>
      </c>
      <c r="D15" s="254">
        <f>C15/$C$6</f>
        <v>0.74043039421062651</v>
      </c>
      <c r="E15" s="298"/>
      <c r="F15" s="246" t="s">
        <v>4</v>
      </c>
      <c r="G15" s="246" t="s">
        <v>38</v>
      </c>
      <c r="H15" s="246" t="s">
        <v>33</v>
      </c>
      <c r="I15" s="246" t="s">
        <v>0</v>
      </c>
      <c r="J15" s="246" t="s">
        <v>108</v>
      </c>
      <c r="K15" s="429"/>
      <c r="L15" s="239"/>
      <c r="M15" s="239"/>
      <c r="N15" s="239"/>
      <c r="O15" s="239"/>
    </row>
    <row r="16" spans="1:15" ht="15" customHeight="1" x14ac:dyDescent="0.3">
      <c r="A16" s="428"/>
      <c r="B16" s="255" t="s">
        <v>53</v>
      </c>
      <c r="C16" s="243">
        <f>GETPIVOTDATA("Sum of Assessments",'Area Pivot Tables'!$A$20,"REGIONID",A1)</f>
        <v>2274</v>
      </c>
      <c r="D16" s="254">
        <f>C16/$C$6</f>
        <v>0.43306036945343745</v>
      </c>
      <c r="E16" s="298"/>
      <c r="F16" s="252" t="s">
        <v>5</v>
      </c>
      <c r="G16" s="253">
        <f>VLOOKUP('Area Data'!A1,'Common Measures'!$A$19:$AK$31,26,)</f>
        <v>42</v>
      </c>
      <c r="H16" s="253">
        <f>VLOOKUP('Area Data'!A1,'Common Measures'!$A$19:$AK$31,27,)</f>
        <v>58</v>
      </c>
      <c r="I16" s="297">
        <f>VLOOKUP('Area Data'!A1,'Common Measures'!$A$19:$AK$31,28,)</f>
        <v>0.72413793103448276</v>
      </c>
      <c r="J16" s="297">
        <f>VLOOKUP('Area Data'!A1,'Common Measures'!$A$19:$AK$31,29,)</f>
        <v>0.66500000000000004</v>
      </c>
      <c r="K16" s="429"/>
      <c r="L16" s="239"/>
      <c r="M16" s="239"/>
      <c r="N16" s="239"/>
      <c r="O16" s="239"/>
    </row>
    <row r="17" spans="1:20" ht="15" customHeight="1" x14ac:dyDescent="0.3">
      <c r="A17" s="428"/>
      <c r="B17" s="256" t="s">
        <v>12</v>
      </c>
      <c r="C17" s="253">
        <f>GETPIVOTDATA("Sum of SkillDevelopment",'Area Pivot Tables'!$A$20,"REGIONID",A1)</f>
        <v>611</v>
      </c>
      <c r="D17" s="254">
        <f>C17/$C$6</f>
        <v>0.11635878880213292</v>
      </c>
      <c r="E17" s="298"/>
      <c r="F17" s="252" t="s">
        <v>6</v>
      </c>
      <c r="G17" s="253">
        <f>VLOOKUP('Area Data'!A1,'Common Measures'!$A$19:$AK$31,30,)</f>
        <v>12</v>
      </c>
      <c r="H17" s="253">
        <f>VLOOKUP('Area Data'!A1,'Common Measures'!$A$19:$AK$31,31,)</f>
        <v>20</v>
      </c>
      <c r="I17" s="297">
        <f>VLOOKUP('Area Data'!A1,'Common Measures'!$A$19:$AK$31,32,)</f>
        <v>0.6</v>
      </c>
      <c r="J17" s="297">
        <f>VLOOKUP('Area Data'!A1,'Common Measures'!$A$19:$AK$31,33,)</f>
        <v>0.34599999999999997</v>
      </c>
      <c r="K17" s="429"/>
      <c r="L17" s="239"/>
      <c r="M17" s="239"/>
      <c r="N17" s="239"/>
      <c r="O17" s="239"/>
    </row>
    <row r="18" spans="1:20" ht="15" customHeight="1" x14ac:dyDescent="0.3">
      <c r="A18" s="428"/>
      <c r="B18" s="245" t="s">
        <v>54</v>
      </c>
      <c r="C18" s="243">
        <f>GETPIVOTDATA("Sum of CommunityReferral",'Area Pivot Tables'!$A$20,"REGIONID",A1)</f>
        <v>41</v>
      </c>
      <c r="D18" s="254">
        <f>C18/$C$6</f>
        <v>7.8080365644639113E-3</v>
      </c>
      <c r="E18" s="298"/>
      <c r="F18" s="252" t="s">
        <v>7</v>
      </c>
      <c r="G18" s="253">
        <f>VLOOKUP('Area Data'!A1,'Common Measures'!$A$19:$AK$31,34,)</f>
        <v>51</v>
      </c>
      <c r="H18" s="253">
        <f>VLOOKUP('Area Data'!A1,'Common Measures'!$A$19:$AK$31,35,)</f>
        <v>71</v>
      </c>
      <c r="I18" s="297">
        <f>VLOOKUP('Area Data'!A1,'Common Measures'!$A$19:$AK$31,36,)</f>
        <v>0.71830985915492962</v>
      </c>
      <c r="J18" s="297">
        <f>VLOOKUP('Area Data'!A1,'Common Measures'!$A$19:$AK$31,37,)</f>
        <v>0.58799999999999997</v>
      </c>
      <c r="K18" s="429"/>
      <c r="L18" s="239"/>
      <c r="M18" s="257"/>
      <c r="N18" s="258"/>
      <c r="O18" s="239"/>
    </row>
    <row r="19" spans="1:20" ht="15" customHeight="1" x14ac:dyDescent="0.3">
      <c r="A19" s="428"/>
      <c r="B19" s="259" t="s">
        <v>18</v>
      </c>
      <c r="C19" s="259" t="s">
        <v>352</v>
      </c>
      <c r="D19" s="259" t="s">
        <v>101</v>
      </c>
      <c r="E19" s="298"/>
      <c r="F19" s="260"/>
      <c r="G19" s="260"/>
      <c r="H19" s="261"/>
      <c r="I19" s="261"/>
      <c r="J19" s="261"/>
      <c r="K19" s="429"/>
      <c r="L19" s="239"/>
      <c r="M19" s="257"/>
      <c r="N19" s="257"/>
      <c r="O19" s="239"/>
    </row>
    <row r="20" spans="1:20" ht="15" customHeight="1" x14ac:dyDescent="0.3">
      <c r="A20" s="430"/>
      <c r="B20" s="245" t="s">
        <v>18</v>
      </c>
      <c r="C20" s="243">
        <f>GETPIVOTDATA("Sum of currentprogram",'Area Pivot Tables'!$A$37,"REGIONID",A1)</f>
        <v>638</v>
      </c>
      <c r="D20" s="243">
        <f>GETPIVOTDATA("Sum of program1yearago",'Area Pivot Tables'!$A$37,"REGIONID",A1)</f>
        <v>895</v>
      </c>
      <c r="E20" s="298"/>
      <c r="F20" s="246" t="s">
        <v>39</v>
      </c>
      <c r="G20" s="262" t="str">
        <f>VLOOKUP($F$1,Lists!$A$16:$H$44,5,)</f>
        <v>PY09 Q4</v>
      </c>
      <c r="H20" s="262" t="str">
        <f>VLOOKUP($F$1,Lists!$A$16:$H$44,6,)</f>
        <v>PY10 Q1</v>
      </c>
      <c r="I20" s="262" t="str">
        <f>VLOOKUP($F$1,Lists!$A$16:$H$44,7,)</f>
        <v>PY10 Q2</v>
      </c>
      <c r="J20" s="262" t="str">
        <f>VLOOKUP($F$1,Lists!$A$16:$H$44,8,)</f>
        <v>PY10 Q3</v>
      </c>
      <c r="K20" s="429"/>
      <c r="L20" s="235"/>
      <c r="M20" s="235"/>
      <c r="N20" s="235"/>
      <c r="O20" s="235"/>
    </row>
    <row r="21" spans="1:20" s="2" customFormat="1" ht="15" customHeight="1" x14ac:dyDescent="0.3">
      <c r="A21" s="428"/>
      <c r="B21" s="245" t="s">
        <v>15</v>
      </c>
      <c r="C21" s="243">
        <f>GETPIVOTDATA("Sum of wiacurrent",'Area Pivot Tables'!$A$37,"REGIONID",A1)</f>
        <v>428</v>
      </c>
      <c r="D21" s="243">
        <f>GETPIVOTDATA("Sum of wia1yearago",'Area Pivot Tables'!$A$37,"REGIONID",A1)</f>
        <v>588</v>
      </c>
      <c r="E21" s="298"/>
      <c r="F21" s="252" t="s">
        <v>422</v>
      </c>
      <c r="G21" s="302">
        <f>GETPIVOTDATA("Area Employed",DBPivot!$A$3,"WDA",$A$1,"PYQ",G$20)</f>
        <v>154503</v>
      </c>
      <c r="H21" s="302">
        <f>GETPIVOTDATA("Area Employed",DBPivot!$A$3,"WDA",$A$1,"PYQ",H$20)</f>
        <v>153883</v>
      </c>
      <c r="I21" s="302">
        <f>GETPIVOTDATA("Area Employed",DBPivot!$A$3,"WDA",$A$1,"PYQ",I$20)</f>
        <v>154707</v>
      </c>
      <c r="J21" s="302">
        <f>GETPIVOTDATA("Area Employed",DBPivot!$A$3,"WDA",$A$1,"PYQ",J$20)</f>
        <v>151840</v>
      </c>
      <c r="K21" s="429"/>
      <c r="L21" s="236"/>
      <c r="M21" s="236"/>
      <c r="N21" s="236"/>
      <c r="O21" s="236"/>
    </row>
    <row r="22" spans="1:20" ht="15" customHeight="1" x14ac:dyDescent="0.3">
      <c r="A22" s="428"/>
      <c r="B22" s="245" t="s">
        <v>19</v>
      </c>
      <c r="C22" s="243">
        <f>GETPIVOTDATA("Sum of wianewcurrent",'Area Pivot Tables'!$A$37,"REGIONID",A1)</f>
        <v>91</v>
      </c>
      <c r="D22" s="243">
        <f>GETPIVOTDATA("Sum of wianew1yearago",'Area Pivot Tables'!$A$37,"REGIONID",A1)</f>
        <v>132</v>
      </c>
      <c r="E22" s="298"/>
      <c r="F22" s="252" t="s">
        <v>194</v>
      </c>
      <c r="G22" s="302">
        <f>GETPIVOTDATA("Area Unemployed",DBPivot!$A$3,"WDA",$A$1,"PYQ",G$20)</f>
        <v>14040</v>
      </c>
      <c r="H22" s="302">
        <f>GETPIVOTDATA("Area Unemployed",DBPivot!$A$3,"WDA",$A$1,"PYQ",H$20)</f>
        <v>13427</v>
      </c>
      <c r="I22" s="302">
        <f>GETPIVOTDATA("Area Unemployed",DBPivot!$A$3,"WDA",$A$1,"PYQ",I$20)</f>
        <v>13187</v>
      </c>
      <c r="J22" s="302">
        <f>GETPIVOTDATA("Area Unemployed",DBPivot!$A$3,"WDA",$A$1,"PYQ",J$20)</f>
        <v>14863</v>
      </c>
      <c r="K22" s="429"/>
      <c r="L22" s="235"/>
      <c r="M22" s="264"/>
      <c r="N22" s="235"/>
      <c r="O22" s="235"/>
    </row>
    <row r="23" spans="1:20" ht="15" customHeight="1" x14ac:dyDescent="0.3">
      <c r="A23" s="428"/>
      <c r="B23" s="265" t="s">
        <v>20</v>
      </c>
      <c r="C23" s="243">
        <f>GETPIVOTDATA("Sum of wiaexitcurrent",'Area Pivot Tables'!$A$37,"REGIONID",A1)</f>
        <v>91</v>
      </c>
      <c r="D23" s="243">
        <f>GETPIVOTDATA("Sum of wiaexit1yearago",'Area Pivot Tables'!$A$37,"REGIONID",A1)</f>
        <v>168</v>
      </c>
      <c r="E23" s="298"/>
      <c r="F23" s="252" t="s">
        <v>129</v>
      </c>
      <c r="G23" s="302">
        <f>GETPIVOTDATA("Area Labor Force",DBPivot!$A$3,"WDA",$A$1,"PYQ",G$20)</f>
        <v>168543</v>
      </c>
      <c r="H23" s="302">
        <f>GETPIVOTDATA("Area Labor Force",DBPivot!$A$3,"WDA",$A$1,"PYQ",H$20)</f>
        <v>167310</v>
      </c>
      <c r="I23" s="302">
        <f>GETPIVOTDATA("Area Labor Force",DBPivot!$A$3,"WDA",$A$1,"PYQ",I$20)</f>
        <v>167893</v>
      </c>
      <c r="J23" s="302">
        <f>GETPIVOTDATA("Area Labor Force",DBPivot!$A$3,"WDA",$A$1,"PYQ",J$20)</f>
        <v>166703</v>
      </c>
      <c r="K23" s="429"/>
      <c r="L23" s="235"/>
      <c r="M23" s="264"/>
      <c r="N23" s="264"/>
      <c r="O23" s="264"/>
      <c r="S23" s="16"/>
      <c r="T23" s="18"/>
    </row>
    <row r="24" spans="1:20" ht="15" customHeight="1" x14ac:dyDescent="0.35">
      <c r="A24" s="430"/>
      <c r="B24" s="259" t="s">
        <v>94</v>
      </c>
      <c r="C24" s="259" t="s">
        <v>352</v>
      </c>
      <c r="D24" s="259" t="s">
        <v>101</v>
      </c>
      <c r="E24" s="298"/>
      <c r="F24" s="252" t="s">
        <v>40</v>
      </c>
      <c r="G24" s="303">
        <f>G22/G23</f>
        <v>8.3302184012388536E-2</v>
      </c>
      <c r="H24" s="303">
        <f>H22/H23</f>
        <v>8.025222640607256E-2</v>
      </c>
      <c r="I24" s="303">
        <f>I22/I23</f>
        <v>7.8544072712977905E-2</v>
      </c>
      <c r="J24" s="303">
        <f>J22/J23</f>
        <v>8.9158563433171564E-2</v>
      </c>
      <c r="K24" s="429"/>
      <c r="L24" s="605" t="s">
        <v>607</v>
      </c>
      <c r="M24" s="605"/>
      <c r="N24" s="605"/>
      <c r="O24" s="605"/>
    </row>
    <row r="25" spans="1:20" ht="15" customHeight="1" x14ac:dyDescent="0.3">
      <c r="A25" s="428"/>
      <c r="B25" s="266" t="s">
        <v>9</v>
      </c>
      <c r="C25" s="243">
        <f>GETPIVOTDATA("Sum of 3COUNT OF JOB ORDERS AND JOB OPENINGS_SumOfJOB OPENINGS",'Area Pivot Tables'!$A$54,"REGIONID",A1)</f>
        <v>552</v>
      </c>
      <c r="D25" s="243">
        <f>GETPIVOTDATA("Sum of 3CountOfJobORders1YearAgo_SumOfJOB OPENINGS",'Area Pivot Tables'!$A$54,"REGIONID",A1)</f>
        <v>1018</v>
      </c>
      <c r="E25" s="298"/>
      <c r="F25" s="252" t="s">
        <v>731</v>
      </c>
      <c r="G25" s="303"/>
      <c r="H25" s="303">
        <f>VLOOKUP($A$1,'Common Measures'!$A$97:$J$108,3,)</f>
        <v>0.48</v>
      </c>
      <c r="I25" s="303">
        <f>VLOOKUP($A$1,'Common Measures'!$A$97:$J$108,4,)</f>
        <v>0.48</v>
      </c>
      <c r="J25" s="303">
        <f>VLOOKUP($A$1,'Common Measures'!$A$97:$J$108,5,)</f>
        <v>0.48</v>
      </c>
      <c r="K25" s="429"/>
      <c r="L25" s="417" t="s">
        <v>41</v>
      </c>
      <c r="M25" s="246" t="s">
        <v>25</v>
      </c>
      <c r="N25" s="246" t="s">
        <v>17</v>
      </c>
      <c r="O25" s="246" t="s">
        <v>16</v>
      </c>
      <c r="S25" s="16"/>
      <c r="T25" s="18"/>
    </row>
    <row r="26" spans="1:20" s="2" customFormat="1" ht="15" customHeight="1" x14ac:dyDescent="0.3">
      <c r="A26" s="428"/>
      <c r="B26" s="266" t="s">
        <v>22</v>
      </c>
      <c r="C26" s="243">
        <f>GETPIVOTDATA("Sum of 3CountOfEmployersServed_CountOfEMPLOYER_ID",'Area Pivot Tables'!$A$54,"REGIONID",A1)</f>
        <v>421</v>
      </c>
      <c r="D26" s="243">
        <f>GETPIVOTDATA("Sum of 3CountOfEmployersServed1YearAgo_CountOfEMPLOYER_ID",'Area Pivot Tables'!$A$54,"REGIONID",A1)</f>
        <v>638</v>
      </c>
      <c r="E26" s="298"/>
      <c r="F26" s="246" t="s">
        <v>41</v>
      </c>
      <c r="G26" s="246" t="s">
        <v>57</v>
      </c>
      <c r="H26" s="246" t="s">
        <v>58</v>
      </c>
      <c r="I26" s="246" t="s">
        <v>59</v>
      </c>
      <c r="J26" s="246"/>
      <c r="K26" s="429"/>
      <c r="L26" s="418" t="s">
        <v>10</v>
      </c>
      <c r="M26" s="267">
        <f>GETPIVOTDATA("Sum of TOT_POP",PopAgeSexRacePivot!$A$3,"AGEGRP",0,"Area#",A1)</f>
        <v>341951</v>
      </c>
      <c r="N26" s="268">
        <f>GETPIVOTDATA("Sum of EOSeekersServedCount_CountOfSEEKERID",'Area Pivot Tables'!$A$148,"REGIONID",A1)</f>
        <v>18978</v>
      </c>
      <c r="O26" s="269">
        <f>GETPIVOTDATA("Sum of EOWIASEEKERCOUNT_CountOfSEEKER_ID",'Area Pivot Tables'!$A$166,"REGIONID",A1)</f>
        <v>981</v>
      </c>
      <c r="S26" s="17"/>
      <c r="T26" s="17"/>
    </row>
    <row r="27" spans="1:20" ht="15" customHeight="1" x14ac:dyDescent="0.3">
      <c r="A27" s="428"/>
      <c r="B27" s="266" t="s">
        <v>722</v>
      </c>
      <c r="C27" s="243">
        <f>GETPIVOTDATA("Sum of 4CountAllJobOrders_CountOfJOB_ORDER_ID",'Area Pivot Tables'!$A$54,"REGIONID",A1)</f>
        <v>783</v>
      </c>
      <c r="D27" s="243">
        <f>GETPIVOTDATA("Sum of lastyearJOS",'Area Pivot Tables'!$A$54,"REGIONID",A1)</f>
        <v>977</v>
      </c>
      <c r="E27" s="298"/>
      <c r="F27" s="245" t="s">
        <v>10</v>
      </c>
      <c r="G27" s="569">
        <f>M26</f>
        <v>341951</v>
      </c>
      <c r="H27" s="243">
        <f>N26</f>
        <v>18978</v>
      </c>
      <c r="I27" s="305">
        <f>O26</f>
        <v>981</v>
      </c>
      <c r="J27" s="306"/>
      <c r="K27" s="429"/>
      <c r="L27" s="418" t="s">
        <v>13</v>
      </c>
      <c r="M27" s="267">
        <f>GETPIVOTDATA("Sum of TOT_MALE",PopAgeSexRacePivot!$A$3,"AGEGRP",0,"Area#",A1)</f>
        <v>171444</v>
      </c>
      <c r="N27" s="268">
        <f>N26-N28</f>
        <v>10823</v>
      </c>
      <c r="O27" s="268">
        <f>O26-O28</f>
        <v>474</v>
      </c>
      <c r="S27" s="16"/>
      <c r="T27" s="18"/>
    </row>
    <row r="28" spans="1:20" ht="15" customHeight="1" x14ac:dyDescent="0.3">
      <c r="A28" s="428"/>
      <c r="B28" s="259" t="s">
        <v>95</v>
      </c>
      <c r="C28" s="259" t="s">
        <v>352</v>
      </c>
      <c r="D28" s="259" t="s">
        <v>101</v>
      </c>
      <c r="E28" s="298"/>
      <c r="F28" s="252" t="s">
        <v>13</v>
      </c>
      <c r="G28" s="570">
        <f>M27/$G$27</f>
        <v>0.50137007933885269</v>
      </c>
      <c r="H28" s="306">
        <f>N27/$N$26</f>
        <v>0.57029191695647596</v>
      </c>
      <c r="I28" s="306">
        <f>O27/$O$26</f>
        <v>0.48318042813455658</v>
      </c>
      <c r="J28" s="306"/>
      <c r="K28" s="429"/>
      <c r="L28" s="419" t="s">
        <v>14</v>
      </c>
      <c r="M28" s="270">
        <f>GETPIVOTDATA("Sum of TOT_FEMALE",PopAgeSexRacePivot!$A$3,"AGEGRP",0,"Area#",A1)</f>
        <v>170507</v>
      </c>
      <c r="N28" s="268">
        <f>GETPIVOTDATA("Sum of EOGenderCount_CountOfSEEKERID",'Area Pivot Tables'!$A$148,"REGIONID",A1)</f>
        <v>8155</v>
      </c>
      <c r="O28" s="268">
        <f>GETPIVOTDATA("Sum of EOWIAGENDERCOUNT_CountOfSEEKER_ID",'Area Pivot Tables'!$A$166,"REGIONID",A1)</f>
        <v>507</v>
      </c>
      <c r="S28" s="16"/>
    </row>
    <row r="29" spans="1:20" ht="15" customHeight="1" x14ac:dyDescent="0.3">
      <c r="A29" s="428"/>
      <c r="B29" s="245" t="s">
        <v>726</v>
      </c>
      <c r="C29" s="244">
        <f>C33/C27</f>
        <v>0.53128991060025543</v>
      </c>
      <c r="D29" s="244">
        <f>D33/D27</f>
        <v>0.50255885363357211</v>
      </c>
      <c r="E29" s="298"/>
      <c r="F29" s="252" t="s">
        <v>14</v>
      </c>
      <c r="G29" s="570">
        <f>M28/$G$27</f>
        <v>0.49862992066114736</v>
      </c>
      <c r="H29" s="306">
        <f>N28/$N$26</f>
        <v>0.42970808304352409</v>
      </c>
      <c r="I29" s="306">
        <f>O28/$O$26</f>
        <v>0.51681957186544347</v>
      </c>
      <c r="J29" s="306"/>
      <c r="K29" s="429"/>
      <c r="L29" s="420" t="s">
        <v>447</v>
      </c>
      <c r="M29" s="263">
        <f>GETPIVOTDATA("Sum of Protected Racial Class",PopAgeSexRacePivot!$A$3,"AGEGRP",0,"Area#",A1)</f>
        <v>44114</v>
      </c>
      <c r="N29" s="268">
        <f>GETPIVOTDATA("Sum of EORaceCount_CountOfSEEKERID",'Area Pivot Tables'!$A$148,"REGIONID",A1)</f>
        <v>4142</v>
      </c>
      <c r="O29" s="268">
        <f>GETPIVOTDATA("Sum of EOWIARACECOUNT_CountOfSEEKER_ID",'Area Pivot Tables'!$A$166,"REGIONID",A1)</f>
        <v>196</v>
      </c>
      <c r="S29" s="16"/>
      <c r="T29" s="16"/>
    </row>
    <row r="30" spans="1:20" ht="15" customHeight="1" x14ac:dyDescent="0.3">
      <c r="A30" s="428"/>
      <c r="B30" s="266" t="s">
        <v>237</v>
      </c>
      <c r="C30" s="271">
        <f>C34/C25</f>
        <v>0.49818840579710144</v>
      </c>
      <c r="D30" s="271">
        <f>D34/D25</f>
        <v>0.53438113948919452</v>
      </c>
      <c r="E30" s="298"/>
      <c r="F30" s="252" t="s">
        <v>447</v>
      </c>
      <c r="G30" s="570">
        <f>M29/$G$27</f>
        <v>0.12900678752218886</v>
      </c>
      <c r="H30" s="306">
        <f>N29/$N$26</f>
        <v>0.21825271366845822</v>
      </c>
      <c r="I30" s="306">
        <f>O29/$O$26</f>
        <v>0.199796126401631</v>
      </c>
      <c r="J30" s="306"/>
      <c r="K30" s="429"/>
      <c r="L30" s="419" t="s">
        <v>21</v>
      </c>
      <c r="M30" s="270">
        <f>SUM(GETPIVOTDATA("Sum of TOT_POP",PopAgeSexRacePivot!$A$3,"AGEGRP",12,"Area#",A1),GETPIVOTDATA("Sum of TOT_POP",PopAgeSexRacePivot!$A$3,"AGEGRP",13,"Area#",A1),GETPIVOTDATA("Sum of TOT_POP",PopAgeSexRacePivot!$A$3,"AGEGRP",14,"Area#",A1),GETPIVOTDATA("Sum of TOT_POP",PopAgeSexRacePivot!$A$3,"AGEGRP",15,"Area#",A1),GETPIVOTDATA("Sum of TOT_POP",PopAgeSexRacePivot!$A$3,"AGEGRP",16,"Area#",A1),GETPIVOTDATA("Sum of TOT_POP",PopAgeSexRacePivot!$A$3,"AGEGRP",17,"Area#",A1),GETPIVOTDATA("Sum of TOT_POP",PopAgeSexRacePivot!$A$3,"AGEGRP",18,"Area#",A1))</f>
        <v>108565</v>
      </c>
      <c r="N30" s="240">
        <f>GETPIVOTDATA("Sum of EOAgeCount_CountOfSEEKERID",'Area Pivot Tables'!$A$148,"REGIONID",A1)</f>
        <v>3805</v>
      </c>
      <c r="O30" s="240">
        <f>GETPIVOTDATA("Sum of EOWIAAGECOUNT_CountOfSEEKER_ID",'Area Pivot Tables'!$A$166,"REGIONID",A1)</f>
        <v>171</v>
      </c>
      <c r="R30" s="2"/>
      <c r="S30" s="16"/>
      <c r="T30" s="16"/>
    </row>
    <row r="31" spans="1:20" ht="15" customHeight="1" x14ac:dyDescent="0.3">
      <c r="A31" s="428"/>
      <c r="B31" s="266" t="s">
        <v>425</v>
      </c>
      <c r="C31" s="272">
        <f>GETPIVOTDATA("Sum of CurrentJOs",'Area Pivot Tables'!$A$82,"REGIONID",A1)</f>
        <v>11.987848101264852</v>
      </c>
      <c r="D31" s="272">
        <f>GETPIVOTDATA("Sum of LastYears",'Area Pivot Tables'!$A$82,"REGIONID",A1)</f>
        <v>13.570255474451312</v>
      </c>
      <c r="E31" s="298"/>
      <c r="F31" s="252" t="s">
        <v>21</v>
      </c>
      <c r="G31" s="570">
        <f>M30/$G$27</f>
        <v>0.31748700837254462</v>
      </c>
      <c r="H31" s="306">
        <f>N30/$N$26</f>
        <v>0.20049531035936347</v>
      </c>
      <c r="I31" s="306">
        <f>O30/$O$26</f>
        <v>0.1743119266055046</v>
      </c>
      <c r="J31" s="307"/>
      <c r="K31" s="429"/>
      <c r="L31" s="418" t="s">
        <v>26</v>
      </c>
      <c r="M31" s="267"/>
      <c r="N31" s="267">
        <f>GETPIVOTDATA("Sum of EODisabilityCount_CountOfSEEKERID",'Area Pivot Tables'!$A$148,"REGIONID",A1)</f>
        <v>1020</v>
      </c>
      <c r="O31" s="267">
        <f>GETPIVOTDATA("Sum of EOWIADSISABILITYCOUNT_CountOfSEEKER_ID",'Area Pivot Tables'!$A$166,"REGIONID",A1)</f>
        <v>54</v>
      </c>
      <c r="S31" s="16"/>
      <c r="T31" s="16"/>
    </row>
    <row r="32" spans="1:20" ht="15" customHeight="1" x14ac:dyDescent="0.3">
      <c r="A32" s="428"/>
      <c r="B32" s="266" t="s">
        <v>328</v>
      </c>
      <c r="C32" s="272">
        <f>GETPIVOTDATA("Sum of Currentsalary",'Area Pivot Tables'!$A$82,"REGIONID",A1)</f>
        <v>10.91</v>
      </c>
      <c r="D32" s="272">
        <f>GETPIVOTDATA("Sum of Lastyearsalary",'Area Pivot Tables'!$A$82,"REGIONID",A1)</f>
        <v>11.48</v>
      </c>
      <c r="E32" s="298"/>
      <c r="F32" s="252" t="s">
        <v>26</v>
      </c>
      <c r="G32" s="570">
        <f>M31/$G$27</f>
        <v>0</v>
      </c>
      <c r="H32" s="306">
        <f>N31/$N$26</f>
        <v>5.3746443250079039E-2</v>
      </c>
      <c r="I32" s="306">
        <f>O31/$O$26</f>
        <v>5.5045871559633031E-2</v>
      </c>
      <c r="J32" s="307"/>
      <c r="K32" s="429"/>
      <c r="L32" s="418" t="s">
        <v>389</v>
      </c>
      <c r="M32" s="267">
        <f>VLOOKUP(H1,'Educational Attainment'!A4:K16,10,)</f>
        <v>213887</v>
      </c>
      <c r="N32" s="273">
        <f>GETPIVOTDATA("Sum of HSCOUNT_CountOfSEEKERID",'Area Pivot Tables'!$A$183,"REGIONID",A1)</f>
        <v>15382</v>
      </c>
      <c r="O32" s="273">
        <f>GETPIVOTDATA("Sum of HSWIACOUNT_CountOfSEEKER_ID",'Area Pivot Tables'!$A$166,"REGIONID",A1)</f>
        <v>770</v>
      </c>
    </row>
    <row r="33" spans="1:15" ht="28.5" customHeight="1" x14ac:dyDescent="0.3">
      <c r="A33" s="428"/>
      <c r="B33" s="245" t="s">
        <v>725</v>
      </c>
      <c r="C33" s="243">
        <f>GETPIVOTDATA("Sum of 4JobOrdersMatching NAICS_CountOfJOB_ORDER_ID",'Area Pivot Tables'!$A$82,"REGIONID",A1)</f>
        <v>416</v>
      </c>
      <c r="D33" s="243">
        <f>GETPIVOTDATA("Sum of 4JobOrdersMatching NAICS LastYear_CountOfJOB_ORDER_ID",'Area Pivot Tables'!$A$82,"REGIONID",A1)</f>
        <v>491</v>
      </c>
      <c r="E33" s="298"/>
      <c r="F33" s="308" t="s">
        <v>388</v>
      </c>
      <c r="G33" s="571">
        <f>M32/M34</f>
        <v>0.92042706280284714</v>
      </c>
      <c r="H33" s="360">
        <f>N32/N34</f>
        <v>0.93581553811522789</v>
      </c>
      <c r="I33" s="360">
        <f>O32/O34</f>
        <v>0.96733668341708545</v>
      </c>
      <c r="J33" s="310"/>
      <c r="K33" s="429"/>
      <c r="L33" s="418" t="s">
        <v>24</v>
      </c>
      <c r="M33" s="267">
        <f>VLOOKUP(H1,'Educational Attainment'!A5:K16,11,)</f>
        <v>64598</v>
      </c>
      <c r="N33" s="267">
        <f>GETPIVOTDATA("Sum of COLLEGECOUNT_CountOfSEEKERID",'Area Pivot Tables'!$A$183,"REGIONID",A1)</f>
        <v>2437</v>
      </c>
      <c r="O33" s="267">
        <f>GETPIVOTDATA("Sum of COLLEGEWIACOUNT_CountOfSEEKER_ID",'Area Pivot Tables'!$A$166,"REGIONID",A1)</f>
        <v>118</v>
      </c>
    </row>
    <row r="34" spans="1:15" ht="22.5" customHeight="1" x14ac:dyDescent="0.3">
      <c r="A34" s="428"/>
      <c r="B34" s="266" t="s">
        <v>56</v>
      </c>
      <c r="C34" s="243">
        <f>GETPIVOTDATA("Sum of current",'Area Pivot Tables'!$A$82,"REGIONID",A1)</f>
        <v>275</v>
      </c>
      <c r="D34" s="243">
        <f>GETPIVOTDATA("Sum of Lastyear",'Area Pivot Tables'!$A$82,"REGIONID",A1)</f>
        <v>544</v>
      </c>
      <c r="E34" s="298"/>
      <c r="F34" s="308" t="s">
        <v>300</v>
      </c>
      <c r="G34" s="571">
        <f>M33/M34</f>
        <v>0.27798672851991152</v>
      </c>
      <c r="H34" s="307">
        <f>N33/N34</f>
        <v>0.14826306503619882</v>
      </c>
      <c r="I34" s="307">
        <f>O33/O34</f>
        <v>0.14824120603015076</v>
      </c>
      <c r="J34" s="310"/>
      <c r="K34" s="429"/>
      <c r="L34" s="418" t="s">
        <v>299</v>
      </c>
      <c r="M34" s="356">
        <f>VLOOKUP(H1,'Educational Attainment'!A5:B16,2,)</f>
        <v>232378</v>
      </c>
      <c r="N34" s="356">
        <f>GETPIVOTDATA("Sum of OVER25COUNT_CountOfSEEKERID",'Area Pivot Tables'!$A$183,"REGIONID",A1)</f>
        <v>16437</v>
      </c>
      <c r="O34" s="356">
        <f>GETPIVOTDATA("Sum of EDUCATIONWIACOUNT_CountOfSEEKER_ID",'Area Pivot Tables'!$A$166,"REGIONID",A1)</f>
        <v>796</v>
      </c>
    </row>
    <row r="35" spans="1:15" ht="26.25" customHeight="1" thickBot="1" x14ac:dyDescent="0.35">
      <c r="A35" s="428"/>
      <c r="B35" s="442" t="s">
        <v>96</v>
      </c>
      <c r="C35" s="259" t="s">
        <v>352</v>
      </c>
      <c r="D35" s="443"/>
      <c r="E35" s="298"/>
      <c r="F35" s="606" t="s">
        <v>350</v>
      </c>
      <c r="G35" s="606"/>
      <c r="H35" s="606"/>
      <c r="I35" s="606"/>
      <c r="J35" s="606"/>
      <c r="K35" s="429"/>
      <c r="L35" s="274"/>
      <c r="M35" s="275"/>
      <c r="N35" s="276"/>
      <c r="O35" s="276"/>
    </row>
    <row r="36" spans="1:15" ht="27.75" customHeight="1" x14ac:dyDescent="0.3">
      <c r="A36" s="428"/>
      <c r="B36" s="252" t="s">
        <v>358</v>
      </c>
      <c r="C36" s="253">
        <f>GETPIVOTDATA("Sum of CountOfSEEKERID",'Area Pivot Tables'!$A$102,"REGIONID",$A$1)</f>
        <v>3774</v>
      </c>
      <c r="D36" s="254"/>
      <c r="E36" s="298"/>
      <c r="F36" s="370" t="s">
        <v>46</v>
      </c>
      <c r="G36" s="572">
        <f ca="1">VLOOKUP(A1,'County Wages'!J6:N18,5,)</f>
        <v>20369.424529067514</v>
      </c>
      <c r="H36" s="361"/>
      <c r="I36" s="362"/>
      <c r="J36" s="363"/>
      <c r="K36" s="429"/>
      <c r="L36" s="235"/>
      <c r="M36" s="235"/>
      <c r="N36" s="235"/>
      <c r="O36" s="235"/>
    </row>
    <row r="37" spans="1:15" ht="15" customHeight="1" x14ac:dyDescent="0.3">
      <c r="A37" s="428"/>
      <c r="B37" s="277" t="s">
        <v>44</v>
      </c>
      <c r="C37" s="278">
        <f>C40/C6</f>
        <v>1.836031232146258</v>
      </c>
      <c r="D37" s="254"/>
      <c r="E37" s="298"/>
      <c r="F37" s="309" t="s">
        <v>457</v>
      </c>
      <c r="G37" s="573">
        <f ca="1">G36/1040</f>
        <v>19.585985124103377</v>
      </c>
      <c r="H37" s="364"/>
      <c r="I37" s="359"/>
      <c r="J37" s="365"/>
      <c r="K37" s="429"/>
      <c r="L37" s="235"/>
      <c r="M37" s="235"/>
      <c r="N37" s="235"/>
      <c r="O37" s="235"/>
    </row>
    <row r="38" spans="1:15" ht="35.25" customHeight="1" thickBot="1" x14ac:dyDescent="0.35">
      <c r="A38" s="428"/>
      <c r="B38" s="277" t="s">
        <v>45</v>
      </c>
      <c r="C38" s="279">
        <f>C42/C41</f>
        <v>0.81879066451062532</v>
      </c>
      <c r="D38" s="254"/>
      <c r="E38" s="298"/>
      <c r="F38" s="308" t="s">
        <v>467</v>
      </c>
      <c r="G38" s="574">
        <f>VLOOKUP(A1,'Educational Attainment'!A31:J43,10,)</f>
        <v>0.31771174434104987</v>
      </c>
      <c r="H38" s="366"/>
      <c r="I38" s="367"/>
      <c r="J38" s="368"/>
      <c r="K38" s="429"/>
      <c r="L38" s="235"/>
      <c r="M38" s="235"/>
      <c r="N38" s="235"/>
      <c r="O38" s="235"/>
    </row>
    <row r="39" spans="1:15" ht="44.25" customHeight="1" x14ac:dyDescent="0.3">
      <c r="A39" s="428"/>
      <c r="B39" s="280" t="s">
        <v>36</v>
      </c>
      <c r="C39" s="281">
        <f>GETPIVOTDATA("Sum of AvgOfDuration",'Area Pivot Tables'!$A$102,"REGIONID",A1)</f>
        <v>9.4142857142857146</v>
      </c>
      <c r="D39" s="282"/>
      <c r="E39" s="298"/>
      <c r="F39" s="311" t="s">
        <v>329</v>
      </c>
      <c r="G39" s="575" t="str">
        <f>VLOOKUP(A1,'Area Pivot Tables'!A133:G145,7,)</f>
        <v xml:space="preserve">Food Services and Drinking Places </v>
      </c>
      <c r="H39" s="312"/>
      <c r="I39" s="313"/>
      <c r="J39" s="314"/>
      <c r="K39" s="429"/>
      <c r="L39" s="235"/>
      <c r="M39" s="235"/>
      <c r="N39" s="235"/>
      <c r="O39" s="235"/>
    </row>
    <row r="40" spans="1:15" ht="30" customHeight="1" x14ac:dyDescent="0.3">
      <c r="A40" s="428"/>
      <c r="B40" s="277" t="s">
        <v>68</v>
      </c>
      <c r="C40" s="286">
        <f>GETPIVOTDATA("Sum of CountOfSERVICEDATE",'Area Pivot Tables'!$A$102,"REGIONID",A1)</f>
        <v>9641</v>
      </c>
      <c r="D40" s="254"/>
      <c r="E40" s="298"/>
      <c r="F40" s="311" t="s">
        <v>330</v>
      </c>
      <c r="G40" s="575" t="str">
        <f>VLOOKUP(A1,'Area Pivot Tables'!A133:M145,13,)</f>
        <v xml:space="preserve">Utilities </v>
      </c>
      <c r="H40" s="312"/>
      <c r="I40" s="313"/>
      <c r="J40" s="314"/>
      <c r="K40" s="429"/>
      <c r="L40" s="235"/>
      <c r="M40" s="235"/>
      <c r="N40" s="235"/>
      <c r="O40" s="235"/>
    </row>
    <row r="41" spans="1:15" ht="24.75" customHeight="1" x14ac:dyDescent="0.3">
      <c r="A41" s="428"/>
      <c r="B41" s="277" t="s">
        <v>60</v>
      </c>
      <c r="C41" s="374">
        <f>GETPIVOTDATA("Sum of OldWages",'Area Pivot Tables'!$A$102,"REGIONID",A1)</f>
        <v>1570.78</v>
      </c>
      <c r="D41" s="254"/>
      <c r="E41" s="298"/>
      <c r="F41" s="577"/>
      <c r="G41" s="578"/>
      <c r="H41" s="313"/>
      <c r="I41" s="313"/>
      <c r="J41" s="314"/>
      <c r="K41" s="429"/>
      <c r="L41" s="239"/>
      <c r="M41" s="239"/>
      <c r="N41" s="235"/>
      <c r="O41" s="235"/>
    </row>
    <row r="42" spans="1:15" ht="15" customHeight="1" x14ac:dyDescent="0.3">
      <c r="A42" s="428"/>
      <c r="B42" s="277" t="s">
        <v>61</v>
      </c>
      <c r="C42" s="374">
        <f>GETPIVOTDATA("Sum of NewWages",'Area Pivot Tables'!$A$102,"REGIONID",A1)</f>
        <v>1286.1400000000001</v>
      </c>
      <c r="D42" s="254"/>
      <c r="E42" s="298"/>
      <c r="F42" s="577"/>
      <c r="G42" s="578"/>
      <c r="H42" s="313"/>
      <c r="I42" s="313"/>
      <c r="J42" s="314"/>
      <c r="K42" s="429"/>
      <c r="L42" s="239"/>
      <c r="M42" s="239"/>
      <c r="N42" s="235"/>
      <c r="O42" s="235"/>
    </row>
    <row r="43" spans="1:15" ht="19.5" thickBot="1" x14ac:dyDescent="0.35">
      <c r="A43" s="428"/>
      <c r="B43" s="432"/>
      <c r="C43" s="432"/>
      <c r="D43" s="432"/>
      <c r="E43" s="298"/>
      <c r="F43" s="432"/>
      <c r="G43" s="432"/>
      <c r="H43" s="432"/>
      <c r="I43" s="432"/>
      <c r="J43" s="432"/>
      <c r="K43" s="429"/>
      <c r="L43" s="3"/>
      <c r="M43" s="3"/>
    </row>
    <row r="44" spans="1:15" x14ac:dyDescent="0.3">
      <c r="A44" s="3"/>
      <c r="B44" s="85"/>
      <c r="C44" s="84"/>
      <c r="D44" s="138"/>
      <c r="E44" s="85"/>
      <c r="F44" s="88"/>
      <c r="G44" s="88"/>
      <c r="H44" s="147"/>
      <c r="I44" s="65"/>
      <c r="J44" s="65"/>
      <c r="K44" s="3"/>
      <c r="L44" s="3"/>
      <c r="M44" s="3"/>
    </row>
    <row r="45" spans="1:15" x14ac:dyDescent="0.3">
      <c r="A45" s="3"/>
      <c r="B45" s="85"/>
      <c r="C45" s="84"/>
      <c r="D45" s="138"/>
      <c r="E45" s="85"/>
      <c r="F45" s="231"/>
      <c r="G45" s="125"/>
      <c r="H45" s="147"/>
      <c r="I45" s="65"/>
      <c r="J45" s="65"/>
      <c r="K45" s="3"/>
      <c r="L45" s="3"/>
      <c r="M45" s="3"/>
    </row>
    <row r="46" spans="1:15" x14ac:dyDescent="0.3">
      <c r="A46" s="3"/>
      <c r="B46" s="85"/>
      <c r="C46" s="84"/>
      <c r="D46" s="138"/>
      <c r="E46" s="85"/>
      <c r="F46" s="125"/>
      <c r="G46" s="88"/>
      <c r="H46" s="147"/>
      <c r="I46" s="65"/>
      <c r="J46" s="65"/>
      <c r="K46" s="3"/>
      <c r="L46" s="3"/>
      <c r="M46" s="3"/>
    </row>
    <row r="47" spans="1:15" x14ac:dyDescent="0.3">
      <c r="A47" s="3"/>
      <c r="B47" s="85"/>
      <c r="C47" s="84"/>
      <c r="D47" s="138"/>
      <c r="E47" s="85"/>
      <c r="F47" s="88"/>
      <c r="G47" s="125"/>
      <c r="H47" s="147"/>
      <c r="I47" s="65"/>
      <c r="J47" s="65"/>
      <c r="K47" s="3"/>
      <c r="L47" s="3"/>
      <c r="M47" s="3"/>
    </row>
    <row r="48" spans="1:15" x14ac:dyDescent="0.3">
      <c r="A48" s="3"/>
      <c r="B48" s="85"/>
      <c r="C48" s="84"/>
      <c r="D48" s="138"/>
      <c r="E48" s="85"/>
      <c r="F48" s="125"/>
      <c r="G48" s="126"/>
      <c r="H48" s="147"/>
      <c r="I48" s="141"/>
      <c r="J48" s="65"/>
      <c r="K48" s="41"/>
      <c r="L48" s="3"/>
      <c r="M48" s="3"/>
    </row>
    <row r="49" spans="1:13" x14ac:dyDescent="0.3">
      <c r="A49" s="3"/>
      <c r="B49" s="85"/>
      <c r="C49" s="84"/>
      <c r="D49" s="138"/>
      <c r="E49" s="85"/>
      <c r="F49" s="88"/>
      <c r="G49" s="125"/>
      <c r="H49" s="147"/>
      <c r="I49" s="148"/>
      <c r="J49" s="65"/>
      <c r="K49" s="3"/>
      <c r="L49" s="3"/>
      <c r="M49" s="3"/>
    </row>
    <row r="50" spans="1:13" x14ac:dyDescent="0.3">
      <c r="A50" s="3"/>
      <c r="B50" s="85"/>
      <c r="C50" s="86"/>
      <c r="D50" s="86"/>
      <c r="E50" s="85"/>
      <c r="F50" s="125"/>
      <c r="G50" s="88"/>
      <c r="H50" s="147"/>
      <c r="I50" s="141"/>
      <c r="J50" s="65"/>
      <c r="K50" s="3"/>
      <c r="L50" s="3"/>
      <c r="M50" s="3"/>
    </row>
    <row r="51" spans="1:13" x14ac:dyDescent="0.3">
      <c r="A51" s="3"/>
      <c r="B51" s="85"/>
      <c r="C51" s="86"/>
      <c r="D51" s="86"/>
      <c r="E51" s="85"/>
      <c r="F51" s="88"/>
      <c r="G51" s="83"/>
      <c r="H51" s="83"/>
      <c r="I51" s="41"/>
      <c r="J51" s="41"/>
      <c r="K51" s="3"/>
      <c r="L51" s="3"/>
      <c r="M51" s="3"/>
    </row>
    <row r="52" spans="1:13" x14ac:dyDescent="0.3">
      <c r="A52" s="3"/>
      <c r="B52" s="85"/>
      <c r="C52" s="86"/>
      <c r="D52" s="86"/>
      <c r="E52" s="85"/>
      <c r="F52" s="83"/>
      <c r="G52" s="83"/>
      <c r="H52" s="83"/>
      <c r="I52" s="41"/>
      <c r="J52" s="41"/>
      <c r="K52" s="3"/>
      <c r="L52" s="3"/>
      <c r="M52" s="3"/>
    </row>
    <row r="53" spans="1:13" x14ac:dyDescent="0.3">
      <c r="A53" s="3"/>
      <c r="B53" s="85"/>
      <c r="C53" s="86"/>
      <c r="D53" s="86"/>
      <c r="E53" s="6"/>
      <c r="F53" s="83"/>
      <c r="G53" s="83"/>
      <c r="H53" s="83"/>
      <c r="I53" s="41"/>
      <c r="J53" s="41"/>
      <c r="K53" s="3"/>
      <c r="L53" s="3"/>
      <c r="M53" s="3"/>
    </row>
    <row r="54" spans="1:13" x14ac:dyDescent="0.3">
      <c r="A54" s="3"/>
      <c r="B54" s="85"/>
      <c r="C54" s="86"/>
      <c r="D54" s="86"/>
      <c r="E54" s="6"/>
      <c r="F54" s="83"/>
      <c r="G54" s="83"/>
      <c r="H54" s="83"/>
      <c r="I54" s="41"/>
      <c r="J54" s="41"/>
      <c r="K54" s="3"/>
      <c r="L54" s="3"/>
      <c r="M54" s="3"/>
    </row>
    <row r="55" spans="1:13" x14ac:dyDescent="0.3">
      <c r="A55" s="3"/>
      <c r="B55" s="85"/>
      <c r="C55" s="86"/>
      <c r="D55" s="86"/>
      <c r="E55" s="6"/>
      <c r="F55" s="83"/>
      <c r="G55" s="83"/>
      <c r="H55" s="83"/>
      <c r="I55" s="41"/>
      <c r="J55" s="41"/>
      <c r="K55" s="3"/>
      <c r="L55" s="3"/>
      <c r="M55" s="3"/>
    </row>
    <row r="56" spans="1:13" x14ac:dyDescent="0.3">
      <c r="A56" s="3"/>
      <c r="B56" s="85"/>
      <c r="C56" s="86"/>
      <c r="D56" s="86"/>
      <c r="E56" s="6"/>
      <c r="F56" s="83"/>
      <c r="G56" s="83"/>
      <c r="H56" s="83"/>
      <c r="I56" s="41"/>
      <c r="J56" s="41"/>
      <c r="K56" s="3"/>
      <c r="L56" s="3"/>
      <c r="M56" s="3"/>
    </row>
    <row r="57" spans="1:13" x14ac:dyDescent="0.3">
      <c r="A57" s="3"/>
      <c r="B57" s="85"/>
      <c r="C57" s="86"/>
      <c r="D57" s="86"/>
      <c r="E57" s="6"/>
      <c r="F57" s="83"/>
      <c r="G57" s="83"/>
      <c r="H57" s="83"/>
      <c r="I57" s="41"/>
      <c r="J57" s="41"/>
      <c r="K57" s="3"/>
      <c r="L57" s="3"/>
      <c r="M57" s="3"/>
    </row>
    <row r="58" spans="1:13" x14ac:dyDescent="0.3">
      <c r="A58" s="3"/>
      <c r="B58" s="85"/>
      <c r="C58" s="86"/>
      <c r="D58" s="86"/>
      <c r="E58" s="6"/>
      <c r="F58" s="83"/>
      <c r="G58" s="83"/>
      <c r="H58" s="83"/>
      <c r="I58" s="41"/>
      <c r="J58" s="41"/>
      <c r="K58" s="3"/>
      <c r="L58" s="3"/>
      <c r="M58" s="3"/>
    </row>
    <row r="59" spans="1:13" x14ac:dyDescent="0.3">
      <c r="A59" s="3"/>
      <c r="B59" s="6"/>
      <c r="C59" s="149"/>
      <c r="D59" s="149"/>
      <c r="E59" s="6"/>
      <c r="F59" s="83"/>
      <c r="G59" s="83"/>
      <c r="H59" s="83"/>
      <c r="I59" s="41"/>
      <c r="J59" s="41"/>
      <c r="K59" s="3"/>
      <c r="L59" s="3"/>
      <c r="M59" s="3"/>
    </row>
    <row r="60" spans="1:13" x14ac:dyDescent="0.3">
      <c r="A60" s="3"/>
      <c r="B60" s="6"/>
      <c r="C60" s="149"/>
      <c r="D60" s="149"/>
      <c r="E60" s="6"/>
      <c r="F60" s="83"/>
      <c r="G60" s="83"/>
      <c r="H60" s="83"/>
      <c r="I60" s="41"/>
      <c r="J60" s="41"/>
      <c r="K60" s="3"/>
      <c r="L60" s="3"/>
      <c r="M60" s="3"/>
    </row>
    <row r="61" spans="1:13" x14ac:dyDescent="0.3">
      <c r="A61" s="3"/>
      <c r="B61" s="6"/>
      <c r="C61" s="149"/>
      <c r="D61" s="149"/>
      <c r="E61" s="6"/>
      <c r="F61" s="83"/>
      <c r="G61" s="83"/>
      <c r="H61" s="83"/>
      <c r="I61" s="41"/>
      <c r="J61" s="41"/>
      <c r="K61" s="3"/>
      <c r="L61" s="3"/>
      <c r="M61" s="3"/>
    </row>
    <row r="62" spans="1:13" x14ac:dyDescent="0.3">
      <c r="A62" s="3"/>
      <c r="B62" s="6"/>
      <c r="C62" s="149"/>
      <c r="D62" s="149"/>
      <c r="E62" s="6"/>
      <c r="F62" s="83"/>
      <c r="G62" s="83"/>
      <c r="H62" s="83"/>
      <c r="I62" s="41"/>
      <c r="J62" s="41"/>
      <c r="K62" s="3"/>
      <c r="L62" s="3"/>
      <c r="M62" s="3"/>
    </row>
    <row r="63" spans="1:13" x14ac:dyDescent="0.3">
      <c r="A63" s="3"/>
      <c r="B63" s="6"/>
      <c r="C63" s="149"/>
      <c r="D63" s="149"/>
      <c r="E63" s="6"/>
      <c r="F63" s="83"/>
      <c r="G63" s="83"/>
      <c r="H63" s="83"/>
      <c r="I63" s="41"/>
      <c r="J63" s="41"/>
      <c r="K63" s="3"/>
      <c r="L63" s="3"/>
      <c r="M63" s="3"/>
    </row>
    <row r="64" spans="1:13" x14ac:dyDescent="0.3">
      <c r="A64" s="3"/>
      <c r="B64" s="6"/>
      <c r="C64" s="149"/>
      <c r="D64" s="149"/>
      <c r="E64" s="6"/>
      <c r="F64" s="83"/>
      <c r="G64" s="83"/>
      <c r="H64" s="83"/>
      <c r="I64" s="41"/>
      <c r="J64" s="41"/>
      <c r="K64" s="3"/>
      <c r="L64" s="3"/>
      <c r="M64" s="3"/>
    </row>
    <row r="65" spans="1:13" x14ac:dyDescent="0.3">
      <c r="A65" s="3"/>
      <c r="B65" s="6"/>
      <c r="C65" s="149"/>
      <c r="D65" s="149"/>
      <c r="E65" s="6"/>
      <c r="F65" s="83"/>
      <c r="G65" s="83"/>
      <c r="H65" s="83"/>
      <c r="I65" s="41"/>
      <c r="J65" s="41"/>
      <c r="K65" s="3"/>
      <c r="L65" s="3"/>
      <c r="M65" s="3"/>
    </row>
    <row r="66" spans="1:13" x14ac:dyDescent="0.3">
      <c r="A66" s="3"/>
      <c r="B66" s="6"/>
      <c r="C66" s="149"/>
      <c r="D66" s="149"/>
      <c r="E66" s="6"/>
      <c r="F66" s="83"/>
      <c r="G66" s="83"/>
      <c r="H66" s="83"/>
      <c r="I66" s="41"/>
      <c r="J66" s="41"/>
      <c r="K66" s="3"/>
      <c r="L66" s="3"/>
      <c r="M66" s="3"/>
    </row>
    <row r="67" spans="1:13" x14ac:dyDescent="0.3">
      <c r="A67" s="3"/>
      <c r="B67" s="6"/>
      <c r="C67" s="149"/>
      <c r="D67" s="149"/>
      <c r="E67" s="6"/>
      <c r="F67" s="83"/>
      <c r="G67" s="83"/>
      <c r="H67" s="83"/>
      <c r="I67" s="41"/>
      <c r="J67" s="41"/>
      <c r="K67" s="3"/>
      <c r="L67" s="3"/>
      <c r="M67" s="3"/>
    </row>
    <row r="68" spans="1:13" x14ac:dyDescent="0.3">
      <c r="A68" s="3"/>
      <c r="B68" s="6"/>
      <c r="C68" s="149"/>
      <c r="D68" s="149"/>
      <c r="E68" s="6"/>
      <c r="F68" s="83"/>
      <c r="G68" s="83"/>
      <c r="H68" s="83"/>
      <c r="I68" s="41"/>
      <c r="J68" s="41"/>
      <c r="K68" s="3"/>
      <c r="L68" s="3"/>
      <c r="M68" s="3"/>
    </row>
    <row r="69" spans="1:13" x14ac:dyDescent="0.3">
      <c r="A69" s="3"/>
      <c r="B69" s="6"/>
      <c r="C69" s="149"/>
      <c r="D69" s="149"/>
      <c r="E69" s="6"/>
      <c r="F69" s="83"/>
      <c r="G69" s="83"/>
      <c r="H69" s="83"/>
      <c r="I69" s="41"/>
      <c r="J69" s="41"/>
      <c r="K69" s="3"/>
      <c r="L69" s="3"/>
      <c r="M69" s="3"/>
    </row>
    <row r="70" spans="1:13" x14ac:dyDescent="0.3">
      <c r="A70" s="3"/>
      <c r="B70" s="6"/>
      <c r="C70" s="149"/>
      <c r="D70" s="149"/>
      <c r="E70" s="6"/>
      <c r="F70" s="83"/>
      <c r="G70" s="83"/>
      <c r="H70" s="83"/>
      <c r="I70" s="41"/>
      <c r="J70" s="41"/>
      <c r="K70" s="3"/>
      <c r="L70" s="3"/>
      <c r="M70" s="3"/>
    </row>
    <row r="71" spans="1:13" x14ac:dyDescent="0.3">
      <c r="A71" s="3"/>
      <c r="B71" s="6"/>
      <c r="C71" s="149"/>
      <c r="D71" s="149"/>
      <c r="E71" s="6"/>
      <c r="F71" s="83"/>
      <c r="K71" s="3"/>
      <c r="L71" s="3"/>
      <c r="M71" s="3"/>
    </row>
    <row r="72" spans="1:13" x14ac:dyDescent="0.3">
      <c r="A72" s="3"/>
      <c r="B72" s="6"/>
      <c r="C72" s="149"/>
      <c r="D72" s="149"/>
      <c r="E72" s="6"/>
    </row>
    <row r="73" spans="1:13" x14ac:dyDescent="0.3">
      <c r="B73" s="6"/>
      <c r="C73" s="149"/>
      <c r="D73" s="149"/>
    </row>
    <row r="74" spans="1:13" x14ac:dyDescent="0.3">
      <c r="B74" s="6"/>
      <c r="C74" s="149"/>
      <c r="D74" s="149"/>
    </row>
  </sheetData>
  <mergeCells count="4">
    <mergeCell ref="L24:O24"/>
    <mergeCell ref="F35:J35"/>
    <mergeCell ref="F2:K2"/>
    <mergeCell ref="B2:D2"/>
  </mergeCells>
  <dataValidations count="2">
    <dataValidation type="list" allowBlank="1" showInputMessage="1" showErrorMessage="1" sqref="B1">
      <formula1>Area</formula1>
    </dataValidation>
    <dataValidation type="list" allowBlank="1" showInputMessage="1" showErrorMessage="1" sqref="F1">
      <formula1>qUARTERS</formula1>
    </dataValidation>
  </dataValidations>
  <pageMargins left="0.25" right="0.25" top="0.43" bottom="0.45" header="0.3" footer="0.3"/>
  <pageSetup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Normal="100" workbookViewId="0">
      <selection activeCell="N20" sqref="N20"/>
    </sheetView>
  </sheetViews>
  <sheetFormatPr defaultRowHeight="18.75" x14ac:dyDescent="0.3"/>
  <cols>
    <col min="1" max="1" width="19" customWidth="1"/>
    <col min="2" max="2" width="3.59765625" style="48" customWidth="1"/>
    <col min="3" max="3" width="10.296875" customWidth="1"/>
    <col min="4" max="4" width="8.59765625" customWidth="1"/>
    <col min="5" max="5" width="17.5" customWidth="1"/>
    <col min="6" max="6" width="5.69921875" style="48" customWidth="1"/>
    <col min="7" max="7" width="6.296875" customWidth="1"/>
    <col min="8" max="8" width="10.3984375" customWidth="1"/>
    <col min="9" max="9" width="7.296875" customWidth="1"/>
    <col min="10" max="10" width="5.296875" style="48" customWidth="1"/>
    <col min="11" max="11" width="19.59765625" customWidth="1"/>
    <col min="12" max="12" width="6" style="48" customWidth="1"/>
  </cols>
  <sheetData>
    <row r="1" spans="1:14" ht="36" customHeight="1" x14ac:dyDescent="0.4">
      <c r="A1" s="57"/>
      <c r="B1" s="57"/>
      <c r="C1" s="614" t="str">
        <f>'Area Data'!B1</f>
        <v>Olympic</v>
      </c>
      <c r="D1" s="614"/>
      <c r="E1" s="615" t="s">
        <v>185</v>
      </c>
      <c r="F1" s="615"/>
      <c r="G1" s="615"/>
      <c r="H1" s="615"/>
      <c r="I1" s="615"/>
      <c r="J1" s="51"/>
      <c r="K1" s="57" t="str">
        <f>'Area Data'!G1</f>
        <v>OCT-DEC 2011</v>
      </c>
      <c r="L1" s="51"/>
      <c r="M1" s="14"/>
    </row>
    <row r="2" spans="1:14" ht="32.25" customHeight="1" x14ac:dyDescent="0.3">
      <c r="A2" s="27"/>
      <c r="B2" s="44"/>
      <c r="C2" s="27"/>
      <c r="D2" s="27"/>
      <c r="E2" s="27"/>
      <c r="F2" s="44"/>
      <c r="G2" s="27"/>
      <c r="H2" s="27"/>
      <c r="I2" s="27"/>
      <c r="J2" s="44"/>
      <c r="K2" s="27"/>
      <c r="L2" s="47"/>
      <c r="M2" s="14"/>
    </row>
    <row r="3" spans="1:14" ht="18.75" customHeight="1" x14ac:dyDescent="0.3">
      <c r="A3" s="27"/>
      <c r="B3" s="44"/>
      <c r="C3" s="27"/>
      <c r="D3" s="27"/>
      <c r="E3" s="27"/>
      <c r="F3" s="44"/>
      <c r="G3" s="27"/>
      <c r="H3" s="27"/>
      <c r="I3" s="27"/>
      <c r="J3" s="44"/>
      <c r="K3" s="27"/>
      <c r="L3" s="47"/>
      <c r="M3" s="14"/>
    </row>
    <row r="4" spans="1:14" ht="18.75" customHeight="1" x14ac:dyDescent="0.3">
      <c r="A4" s="27"/>
      <c r="B4" s="44"/>
      <c r="C4" s="27"/>
      <c r="D4" s="27"/>
      <c r="E4" s="27"/>
      <c r="F4" s="44"/>
      <c r="G4" s="27"/>
      <c r="H4" s="27"/>
      <c r="I4" s="27"/>
      <c r="J4" s="44"/>
      <c r="K4" s="27"/>
      <c r="L4" s="47"/>
      <c r="M4" s="14"/>
    </row>
    <row r="5" spans="1:14" ht="18.75" customHeight="1" x14ac:dyDescent="0.3">
      <c r="A5" s="27"/>
      <c r="B5" s="44"/>
      <c r="C5" s="27"/>
      <c r="D5" s="27"/>
      <c r="E5" s="27"/>
      <c r="F5" s="44"/>
      <c r="G5" s="27"/>
      <c r="H5" s="27"/>
      <c r="I5" s="27"/>
      <c r="J5" s="44"/>
      <c r="K5" s="27"/>
      <c r="L5" s="47"/>
      <c r="M5" s="14"/>
    </row>
    <row r="6" spans="1:14" ht="18.75" customHeight="1" x14ac:dyDescent="0.3">
      <c r="A6" s="27"/>
      <c r="B6" s="44"/>
      <c r="C6" s="27"/>
      <c r="D6" s="27"/>
      <c r="E6" s="27"/>
      <c r="F6" s="44"/>
      <c r="G6" s="27"/>
      <c r="H6" s="27"/>
      <c r="I6" s="27"/>
      <c r="J6" s="44"/>
      <c r="K6" s="27"/>
      <c r="L6" s="47"/>
      <c r="M6" s="14"/>
    </row>
    <row r="7" spans="1:14" ht="45" customHeight="1" x14ac:dyDescent="0.3">
      <c r="A7" s="27"/>
      <c r="B7" s="44"/>
      <c r="C7" s="27"/>
      <c r="D7" s="27"/>
      <c r="E7" s="27"/>
      <c r="F7" s="44"/>
      <c r="G7" s="27"/>
      <c r="H7" s="28"/>
      <c r="I7" s="20"/>
      <c r="J7" s="54"/>
      <c r="K7" s="14"/>
      <c r="L7" s="47"/>
      <c r="M7" s="14"/>
    </row>
    <row r="8" spans="1:14" ht="19.5" customHeight="1" x14ac:dyDescent="0.3">
      <c r="A8" s="13"/>
      <c r="B8" s="35"/>
      <c r="C8" s="13"/>
      <c r="D8" s="13"/>
      <c r="E8" s="13"/>
      <c r="F8" s="35"/>
      <c r="G8" s="13"/>
      <c r="H8" s="13"/>
      <c r="I8" s="13"/>
      <c r="J8" s="35"/>
      <c r="K8" s="13"/>
      <c r="L8" s="47"/>
      <c r="M8" s="14"/>
    </row>
    <row r="9" spans="1:14" x14ac:dyDescent="0.3">
      <c r="A9" s="13"/>
      <c r="B9" s="35"/>
      <c r="C9" s="13"/>
      <c r="D9" s="13"/>
      <c r="E9" s="13"/>
      <c r="F9" s="35"/>
      <c r="G9" s="13"/>
      <c r="H9" s="13"/>
      <c r="I9" s="13"/>
      <c r="J9" s="35"/>
      <c r="K9" s="13"/>
      <c r="L9" s="47"/>
      <c r="M9" s="14"/>
    </row>
    <row r="10" spans="1:14" x14ac:dyDescent="0.3">
      <c r="A10" s="13"/>
      <c r="B10" s="35"/>
      <c r="C10" s="13"/>
      <c r="D10" s="13"/>
      <c r="E10" s="13"/>
      <c r="F10" s="35"/>
      <c r="G10" s="13"/>
      <c r="H10" s="13"/>
      <c r="I10" s="13"/>
      <c r="J10" s="35"/>
      <c r="K10" s="13"/>
      <c r="L10" s="47"/>
      <c r="M10" s="14"/>
    </row>
    <row r="11" spans="1:14" x14ac:dyDescent="0.3">
      <c r="A11" s="13"/>
      <c r="B11" s="35"/>
      <c r="C11" s="13"/>
      <c r="D11" s="13"/>
      <c r="E11" s="13"/>
      <c r="F11" s="35"/>
      <c r="G11" s="13"/>
      <c r="H11" s="13"/>
      <c r="I11" s="13"/>
      <c r="J11" s="35"/>
      <c r="K11" s="13"/>
      <c r="L11" s="47"/>
      <c r="M11" s="14"/>
    </row>
    <row r="12" spans="1:14" ht="42" customHeight="1" x14ac:dyDescent="0.35">
      <c r="A12" s="29"/>
      <c r="B12" s="45"/>
      <c r="C12" s="221"/>
      <c r="D12" s="221"/>
      <c r="E12" s="616"/>
      <c r="F12" s="49"/>
      <c r="G12" s="30"/>
      <c r="H12" s="31"/>
      <c r="I12" s="30"/>
      <c r="J12" s="55"/>
      <c r="K12" s="32"/>
      <c r="L12" s="23"/>
      <c r="M12" s="14"/>
    </row>
    <row r="13" spans="1:14" ht="18.75" customHeight="1" x14ac:dyDescent="0.35">
      <c r="A13" s="14"/>
      <c r="B13" s="46"/>
      <c r="C13" s="33"/>
      <c r="D13" s="33"/>
      <c r="E13" s="616"/>
      <c r="F13" s="47"/>
      <c r="G13" s="14"/>
      <c r="H13" s="14"/>
      <c r="I13" s="31"/>
      <c r="J13" s="34"/>
      <c r="K13" s="14"/>
      <c r="L13" s="52"/>
      <c r="M13" s="27"/>
      <c r="N13" s="222"/>
    </row>
    <row r="14" spans="1:14" ht="25.5" customHeight="1" x14ac:dyDescent="0.35">
      <c r="A14" s="14"/>
      <c r="B14" s="46"/>
      <c r="C14" s="33"/>
      <c r="D14" s="33"/>
      <c r="E14" s="616"/>
      <c r="F14" s="47"/>
      <c r="G14" s="14"/>
      <c r="H14" s="15"/>
      <c r="I14" s="31"/>
      <c r="J14" s="35"/>
      <c r="K14" s="14"/>
      <c r="L14" s="47"/>
      <c r="M14" s="27"/>
      <c r="N14" s="222"/>
    </row>
    <row r="15" spans="1:14" s="21" customFormat="1" ht="25.5" customHeight="1" x14ac:dyDescent="0.5">
      <c r="A15" s="14"/>
      <c r="B15" s="46"/>
      <c r="C15" s="33"/>
      <c r="D15" s="33"/>
      <c r="E15" s="616"/>
      <c r="F15" s="50"/>
      <c r="G15" s="15"/>
      <c r="H15" s="36"/>
      <c r="I15" s="31"/>
      <c r="J15" s="37"/>
      <c r="K15" s="25"/>
      <c r="L15" s="53"/>
      <c r="M15" s="27"/>
      <c r="N15" s="222"/>
    </row>
    <row r="16" spans="1:14" s="21" customFormat="1" ht="32.25" customHeight="1" x14ac:dyDescent="0.5">
      <c r="A16" s="14"/>
      <c r="B16" s="46"/>
      <c r="C16" s="33"/>
      <c r="D16" s="33"/>
      <c r="E16" s="616"/>
      <c r="F16" s="50"/>
      <c r="G16" s="15"/>
      <c r="H16" s="36"/>
      <c r="I16" s="31"/>
      <c r="J16" s="34"/>
      <c r="K16" s="26"/>
      <c r="L16" s="53"/>
      <c r="M16" s="27"/>
      <c r="N16" s="222"/>
    </row>
    <row r="17" spans="1:14" s="21" customFormat="1" ht="36" customHeight="1" x14ac:dyDescent="0.5">
      <c r="A17" s="14"/>
      <c r="B17" s="46"/>
      <c r="C17" s="33"/>
      <c r="D17" s="33"/>
      <c r="E17" s="616"/>
      <c r="F17" s="24"/>
      <c r="G17" s="24"/>
      <c r="H17" s="36"/>
      <c r="I17" s="31"/>
      <c r="J17" s="34"/>
      <c r="K17" s="26"/>
      <c r="L17" s="53"/>
      <c r="M17" s="27"/>
      <c r="N17" s="222"/>
    </row>
    <row r="18" spans="1:14" ht="28.5" customHeight="1" x14ac:dyDescent="0.35">
      <c r="A18" s="14"/>
      <c r="B18" s="46"/>
      <c r="C18" s="33"/>
      <c r="D18" s="33"/>
      <c r="E18" s="616"/>
      <c r="F18" s="47"/>
      <c r="G18" s="14"/>
      <c r="H18" s="14"/>
      <c r="I18" s="31"/>
      <c r="J18" s="37"/>
      <c r="K18" s="14"/>
      <c r="L18" s="47"/>
      <c r="M18" s="27"/>
      <c r="N18" s="222"/>
    </row>
    <row r="19" spans="1:14" ht="45" customHeight="1" x14ac:dyDescent="0.35">
      <c r="A19" s="14"/>
      <c r="B19" s="47"/>
      <c r="C19" s="14"/>
      <c r="D19" s="14"/>
      <c r="E19" s="616"/>
      <c r="F19" s="47"/>
      <c r="G19" s="14"/>
      <c r="H19" s="14"/>
      <c r="I19" s="31"/>
      <c r="J19" s="37"/>
      <c r="K19" s="14"/>
      <c r="L19" s="44"/>
      <c r="M19" s="27"/>
      <c r="N19" s="222"/>
    </row>
    <row r="20" spans="1:14" s="77" customFormat="1" ht="22.5" customHeight="1" x14ac:dyDescent="0.25">
      <c r="A20" s="617" t="s">
        <v>83</v>
      </c>
      <c r="B20" s="617"/>
      <c r="C20" s="78">
        <f>'Area Data'!C36</f>
        <v>3774</v>
      </c>
      <c r="D20" s="618" t="s">
        <v>23</v>
      </c>
      <c r="E20" s="618"/>
      <c r="F20" s="80">
        <f>'Area Data'!C37</f>
        <v>1.836031232146258</v>
      </c>
      <c r="G20" s="619" t="s">
        <v>27</v>
      </c>
      <c r="H20" s="619"/>
      <c r="I20" s="181">
        <f>'Area Data'!C38</f>
        <v>0.81879066451062532</v>
      </c>
      <c r="J20" s="610" t="s">
        <v>130</v>
      </c>
      <c r="K20" s="610"/>
      <c r="L20" s="79">
        <f>'Area Data'!C39</f>
        <v>9.4142857142857146</v>
      </c>
      <c r="M20" s="75"/>
      <c r="N20" s="76"/>
    </row>
    <row r="21" spans="1:14" ht="32.25" customHeight="1" x14ac:dyDescent="0.35">
      <c r="A21" s="611"/>
      <c r="B21" s="611"/>
      <c r="C21" s="611"/>
      <c r="D21" s="611"/>
      <c r="E21" s="611"/>
      <c r="F21" s="611"/>
      <c r="G21" s="611"/>
      <c r="H21" s="611"/>
      <c r="I21" s="611"/>
      <c r="J21" s="611"/>
      <c r="K21" s="611"/>
      <c r="L21" s="611"/>
      <c r="M21" s="14"/>
    </row>
    <row r="22" spans="1:14" ht="12.75" customHeight="1" x14ac:dyDescent="0.3">
      <c r="A22" s="14"/>
      <c r="B22" s="47"/>
      <c r="C22" s="14"/>
      <c r="D22" s="14"/>
      <c r="E22" s="14"/>
      <c r="F22" s="47"/>
      <c r="G22" s="14"/>
      <c r="H22" s="14"/>
      <c r="I22" s="14"/>
      <c r="J22" s="44"/>
      <c r="K22" s="27"/>
      <c r="L22" s="47"/>
      <c r="M22" s="14"/>
    </row>
    <row r="23" spans="1:14" ht="15.75" customHeight="1" x14ac:dyDescent="0.3">
      <c r="J23" s="223"/>
      <c r="K23" s="222"/>
    </row>
    <row r="24" spans="1:14" ht="18.75" customHeight="1" x14ac:dyDescent="0.3">
      <c r="J24" s="612"/>
      <c r="K24" s="613"/>
    </row>
    <row r="25" spans="1:14" ht="18.75" customHeight="1" x14ac:dyDescent="0.3">
      <c r="J25" s="612"/>
      <c r="K25" s="613"/>
    </row>
    <row r="26" spans="1:14" ht="18.75" customHeight="1" x14ac:dyDescent="0.3">
      <c r="J26" s="223"/>
      <c r="K26" s="222"/>
    </row>
    <row r="29" spans="1:14" x14ac:dyDescent="0.3">
      <c r="K29" s="222"/>
    </row>
    <row r="30" spans="1:14" ht="18.75" customHeight="1" x14ac:dyDescent="0.3"/>
    <row r="31" spans="1:14" ht="18.75" customHeight="1" x14ac:dyDescent="0.3"/>
  </sheetData>
  <mergeCells count="10">
    <mergeCell ref="J20:K20"/>
    <mergeCell ref="A21:L21"/>
    <mergeCell ref="J24:J25"/>
    <mergeCell ref="K24:K25"/>
    <mergeCell ref="C1:D1"/>
    <mergeCell ref="E1:I1"/>
    <mergeCell ref="E12:E19"/>
    <mergeCell ref="A20:B20"/>
    <mergeCell ref="D20:E20"/>
    <mergeCell ref="G20:H20"/>
  </mergeCells>
  <pageMargins left="0.18" right="0.18" top="0.43" bottom="0.26" header="0.23" footer="0.17"/>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6"/>
  <sheetViews>
    <sheetView zoomScale="70" zoomScaleNormal="70" workbookViewId="0">
      <selection activeCell="N24" sqref="N24"/>
    </sheetView>
  </sheetViews>
  <sheetFormatPr defaultRowHeight="18.75" x14ac:dyDescent="0.3"/>
  <cols>
    <col min="1" max="1" width="11.09765625" customWidth="1"/>
    <col min="2" max="2" width="12.19921875" customWidth="1"/>
    <col min="4" max="4" width="3.69921875" customWidth="1"/>
    <col min="5" max="5" width="18.19921875" customWidth="1"/>
    <col min="6" max="6" width="17.5" customWidth="1"/>
    <col min="7" max="7" width="10.296875" customWidth="1"/>
    <col min="8" max="8" width="15" customWidth="1"/>
    <col min="9" max="9" width="11.8984375" customWidth="1"/>
    <col min="10" max="10" width="10.3984375" customWidth="1"/>
    <col min="11" max="11" width="8.796875" customWidth="1"/>
    <col min="12" max="12" width="20" customWidth="1"/>
    <col min="13" max="13" width="9" customWidth="1"/>
    <col min="14" max="14" width="10.296875" customWidth="1"/>
    <col min="19" max="19" width="12.3984375" customWidth="1"/>
  </cols>
  <sheetData>
    <row r="1" spans="1:23" ht="39.75" customHeight="1" x14ac:dyDescent="0.4">
      <c r="A1" s="58"/>
      <c r="B1" s="58"/>
      <c r="C1" s="434"/>
      <c r="D1" s="435" t="str">
        <f>'Area Data'!B1</f>
        <v>Olympic</v>
      </c>
      <c r="E1" s="434" t="s">
        <v>184</v>
      </c>
      <c r="F1" s="57"/>
      <c r="G1" s="58"/>
      <c r="H1" s="58"/>
      <c r="I1" s="58"/>
      <c r="J1" s="58"/>
      <c r="K1" s="57" t="str">
        <f>'Area Data'!G1</f>
        <v>OCT-DEC 2011</v>
      </c>
      <c r="L1" s="57"/>
    </row>
    <row r="2" spans="1:23" x14ac:dyDescent="0.3">
      <c r="D2" s="14"/>
      <c r="E2" s="3"/>
      <c r="F2" s="3"/>
      <c r="G2" s="3"/>
      <c r="H2" s="3"/>
      <c r="I2" s="14"/>
      <c r="J2" s="3"/>
      <c r="K2" s="3"/>
      <c r="L2" s="3"/>
      <c r="M2" s="3"/>
      <c r="N2" s="14"/>
      <c r="O2" s="14"/>
    </row>
    <row r="3" spans="1:23" x14ac:dyDescent="0.3">
      <c r="D3" s="14"/>
      <c r="E3" s="3"/>
      <c r="J3" s="3"/>
      <c r="K3" s="3"/>
      <c r="L3" s="3"/>
      <c r="M3" s="3"/>
      <c r="N3" s="14"/>
      <c r="O3" s="14"/>
    </row>
    <row r="4" spans="1:23" x14ac:dyDescent="0.3">
      <c r="D4" s="14"/>
      <c r="E4" s="3"/>
      <c r="K4" s="3"/>
      <c r="L4" s="3"/>
      <c r="M4" s="3"/>
      <c r="N4" s="14"/>
      <c r="O4" s="14"/>
    </row>
    <row r="5" spans="1:23" x14ac:dyDescent="0.3">
      <c r="D5" s="14"/>
      <c r="E5" s="3"/>
      <c r="K5" s="3"/>
      <c r="L5" s="3"/>
      <c r="M5" s="3"/>
      <c r="N5" s="14"/>
      <c r="O5" s="14"/>
    </row>
    <row r="6" spans="1:23" x14ac:dyDescent="0.3">
      <c r="D6" s="14"/>
      <c r="E6" s="3"/>
      <c r="K6" s="3"/>
      <c r="L6" s="3"/>
      <c r="M6" s="3"/>
      <c r="N6" s="14"/>
      <c r="O6" s="14"/>
    </row>
    <row r="7" spans="1:23" x14ac:dyDescent="0.3">
      <c r="D7" s="14"/>
      <c r="E7" s="3"/>
      <c r="F7" s="3"/>
      <c r="G7" s="3"/>
      <c r="K7" s="3"/>
      <c r="L7" s="3"/>
      <c r="M7" s="3"/>
      <c r="N7" s="14"/>
      <c r="O7" s="14"/>
    </row>
    <row r="8" spans="1:23" x14ac:dyDescent="0.3">
      <c r="D8" s="14"/>
      <c r="E8" s="3"/>
      <c r="F8" s="3"/>
      <c r="G8" s="3"/>
      <c r="H8" s="3"/>
      <c r="I8" s="14"/>
      <c r="J8" s="3"/>
      <c r="K8" s="3"/>
      <c r="L8" s="3"/>
      <c r="M8" s="3"/>
      <c r="N8" s="14"/>
      <c r="O8" s="14"/>
    </row>
    <row r="9" spans="1:23" ht="40.5" customHeight="1" x14ac:dyDescent="0.3">
      <c r="D9" s="14"/>
      <c r="E9" s="3"/>
      <c r="F9" s="3"/>
      <c r="G9" s="3"/>
      <c r="H9" s="3"/>
      <c r="I9" s="14"/>
      <c r="J9" s="3"/>
      <c r="K9" s="3"/>
      <c r="L9" s="3"/>
      <c r="M9" s="3"/>
      <c r="N9" s="14"/>
    </row>
    <row r="10" spans="1:23" ht="48" customHeight="1" x14ac:dyDescent="0.3">
      <c r="D10" s="14"/>
      <c r="E10" s="3"/>
      <c r="F10" s="3"/>
      <c r="G10" s="3"/>
      <c r="H10" s="3"/>
      <c r="I10" s="14"/>
      <c r="J10" s="3"/>
      <c r="K10" s="3"/>
      <c r="L10" s="3"/>
      <c r="M10" s="3"/>
      <c r="N10" s="3"/>
      <c r="V10" s="5"/>
    </row>
    <row r="11" spans="1:23" s="2" customFormat="1" ht="40.5" customHeight="1" x14ac:dyDescent="0.3">
      <c r="D11" s="210"/>
      <c r="E11" s="210"/>
      <c r="M11" s="210"/>
      <c r="N11" s="210"/>
      <c r="V11" s="135"/>
    </row>
    <row r="12" spans="1:23" s="2" customFormat="1" ht="40.5" customHeight="1" x14ac:dyDescent="0.3">
      <c r="M12" s="210"/>
      <c r="N12" s="210"/>
      <c r="V12" s="135"/>
    </row>
    <row r="13" spans="1:23" s="2" customFormat="1" ht="40.5" customHeight="1" x14ac:dyDescent="0.3">
      <c r="M13" s="210"/>
      <c r="N13" s="210"/>
      <c r="V13" s="135"/>
    </row>
    <row r="14" spans="1:23" s="2" customFormat="1" ht="40.5" customHeight="1" x14ac:dyDescent="0.3">
      <c r="M14" s="210"/>
      <c r="N14" s="210"/>
      <c r="V14" s="135"/>
    </row>
    <row r="15" spans="1:23" s="2" customFormat="1" ht="40.5" customHeight="1" x14ac:dyDescent="0.3">
      <c r="M15" s="210"/>
      <c r="N15" s="210"/>
      <c r="P15"/>
      <c r="Q15"/>
      <c r="R15"/>
      <c r="S15"/>
      <c r="T15"/>
      <c r="U15"/>
      <c r="V15" s="135"/>
    </row>
    <row r="16" spans="1:23" ht="47.25" customHeight="1" x14ac:dyDescent="0.3">
      <c r="M16" s="136"/>
      <c r="N16" s="3"/>
      <c r="O16" s="14"/>
      <c r="P16" s="2"/>
      <c r="Q16" s="2"/>
      <c r="R16" s="2"/>
      <c r="S16" s="2"/>
      <c r="T16" s="2"/>
      <c r="U16" s="2"/>
      <c r="V16" s="5"/>
      <c r="W16" s="5"/>
    </row>
    <row r="17" spans="1:24" x14ac:dyDescent="0.3">
      <c r="M17" s="3"/>
      <c r="N17" s="3"/>
      <c r="O17" s="3"/>
      <c r="P17" s="2"/>
      <c r="Q17" s="2"/>
      <c r="R17" s="2"/>
      <c r="S17" s="2"/>
      <c r="T17" s="2"/>
      <c r="U17" s="2"/>
      <c r="V17" s="5"/>
      <c r="W17" s="5"/>
    </row>
    <row r="18" spans="1:24" x14ac:dyDescent="0.3">
      <c r="F18" s="3"/>
      <c r="G18" s="3"/>
      <c r="N18" s="3"/>
      <c r="O18" s="161"/>
      <c r="P18" s="2"/>
      <c r="Q18" s="2"/>
      <c r="R18" s="2"/>
      <c r="S18" s="2"/>
      <c r="T18" s="2"/>
      <c r="U18" s="2"/>
      <c r="V18" s="5"/>
      <c r="W18" s="5"/>
    </row>
    <row r="19" spans="1:24" ht="50.25" customHeight="1" x14ac:dyDescent="0.55000000000000004">
      <c r="G19" s="224"/>
      <c r="H19" s="630" t="s">
        <v>106</v>
      </c>
      <c r="I19" s="630"/>
      <c r="J19" s="630"/>
      <c r="K19" s="630"/>
      <c r="L19" s="630"/>
      <c r="M19" s="212"/>
      <c r="N19" s="62"/>
      <c r="O19" s="161"/>
      <c r="P19" s="2"/>
      <c r="Q19" s="2"/>
      <c r="R19" s="2"/>
      <c r="S19" s="2"/>
      <c r="T19" s="2"/>
      <c r="U19" s="2"/>
    </row>
    <row r="20" spans="1:24" ht="28.5" customHeight="1" x14ac:dyDescent="0.5">
      <c r="A20" s="629" t="s">
        <v>240</v>
      </c>
      <c r="B20" s="629"/>
      <c r="C20" s="629"/>
      <c r="D20" s="629"/>
      <c r="E20" s="629"/>
      <c r="F20" s="629"/>
      <c r="G20" s="215"/>
      <c r="H20" s="624" t="s">
        <v>448</v>
      </c>
      <c r="I20" s="624"/>
      <c r="J20" s="624"/>
      <c r="K20" s="632">
        <f ca="1">'Area Data'!G36</f>
        <v>20369.424529067514</v>
      </c>
      <c r="L20" s="632"/>
      <c r="N20" s="3"/>
      <c r="O20" s="161"/>
      <c r="P20" s="2"/>
      <c r="Q20" s="2"/>
      <c r="R20" s="2"/>
      <c r="S20" s="2"/>
      <c r="T20" s="2"/>
      <c r="U20" s="2"/>
      <c r="V20" s="40"/>
      <c r="W20" s="63"/>
    </row>
    <row r="21" spans="1:24" ht="38.25" customHeight="1" x14ac:dyDescent="0.35">
      <c r="A21" s="631" t="s">
        <v>242</v>
      </c>
      <c r="B21" s="631"/>
      <c r="C21" s="631"/>
      <c r="D21" s="631"/>
      <c r="E21" s="233" t="s">
        <v>35</v>
      </c>
      <c r="F21" s="234" t="s">
        <v>243</v>
      </c>
      <c r="G21" s="217"/>
      <c r="H21" s="620" t="s">
        <v>466</v>
      </c>
      <c r="I21" s="620"/>
      <c r="J21" s="620"/>
      <c r="K21" s="627">
        <f>'Area Data'!G38</f>
        <v>0.31771174434104987</v>
      </c>
      <c r="L21" s="627"/>
      <c r="N21" s="3"/>
      <c r="O21" s="161"/>
      <c r="V21" s="40"/>
      <c r="W21" s="63"/>
    </row>
    <row r="22" spans="1:24" s="2" customFormat="1" ht="39.75" customHeight="1" x14ac:dyDescent="0.35">
      <c r="A22" s="626" t="s">
        <v>1</v>
      </c>
      <c r="B22" s="626"/>
      <c r="C22" s="626"/>
      <c r="D22" s="626"/>
      <c r="E22" s="218">
        <f>'Area Data'!$G$4</f>
        <v>8023</v>
      </c>
      <c r="F22" s="218">
        <f>'Area Data'!$H$4</f>
        <v>16056</v>
      </c>
      <c r="G22" s="217"/>
      <c r="H22" s="624" t="s">
        <v>244</v>
      </c>
      <c r="I22" s="624"/>
      <c r="J22" s="624"/>
      <c r="K22" s="625">
        <f>'Area Data'!G33</f>
        <v>0.92042706280284714</v>
      </c>
      <c r="L22" s="625"/>
      <c r="N22" s="5"/>
      <c r="O22" s="161"/>
      <c r="P22"/>
      <c r="Q22"/>
      <c r="R22" s="5"/>
      <c r="S22" s="5"/>
      <c r="T22" s="5"/>
      <c r="U22" s="5"/>
      <c r="V22" s="43"/>
      <c r="W22" s="43"/>
    </row>
    <row r="23" spans="1:24" ht="31.5" customHeight="1" x14ac:dyDescent="0.35">
      <c r="A23" s="623" t="s">
        <v>2</v>
      </c>
      <c r="B23" s="623"/>
      <c r="C23" s="623"/>
      <c r="D23" s="623"/>
      <c r="E23" s="219">
        <f>'Area Data'!$G$8</f>
        <v>7707</v>
      </c>
      <c r="F23" s="219">
        <f>'Area Data'!$H$8</f>
        <v>9824</v>
      </c>
      <c r="G23" s="217"/>
      <c r="H23" s="620" t="s">
        <v>105</v>
      </c>
      <c r="I23" s="620"/>
      <c r="J23" s="620"/>
      <c r="K23" s="627">
        <f>'Area Data'!G34</f>
        <v>0.27798672851991152</v>
      </c>
      <c r="L23" s="627"/>
      <c r="N23" s="5"/>
      <c r="O23" s="161"/>
      <c r="R23" s="135"/>
      <c r="S23" s="135"/>
      <c r="T23" s="135"/>
      <c r="U23" s="135"/>
      <c r="V23" s="67"/>
      <c r="W23" s="67"/>
    </row>
    <row r="24" spans="1:24" ht="64.5" customHeight="1" x14ac:dyDescent="0.35">
      <c r="A24" s="626" t="s">
        <v>3</v>
      </c>
      <c r="B24" s="626"/>
      <c r="C24" s="626"/>
      <c r="D24" s="626"/>
      <c r="E24" s="220">
        <f>'Area Data'!G12</f>
        <v>105237427</v>
      </c>
      <c r="F24" s="218">
        <f>'Area Data'!H12</f>
        <v>7653</v>
      </c>
      <c r="G24" s="2"/>
      <c r="H24" s="624" t="s">
        <v>107</v>
      </c>
      <c r="I24" s="624"/>
      <c r="J24" s="624"/>
      <c r="K24" s="628" t="str">
        <f>'Area Data'!G39</f>
        <v xml:space="preserve">Food Services and Drinking Places </v>
      </c>
      <c r="L24" s="628"/>
      <c r="N24" s="5"/>
      <c r="O24" s="161"/>
      <c r="S24" s="135"/>
      <c r="T24" s="135"/>
      <c r="U24" s="135"/>
      <c r="V24" s="74"/>
      <c r="W24" s="74"/>
    </row>
    <row r="25" spans="1:24" ht="63.75" customHeight="1" x14ac:dyDescent="0.35">
      <c r="G25" s="2"/>
      <c r="H25" s="620" t="s">
        <v>241</v>
      </c>
      <c r="I25" s="620"/>
      <c r="J25" s="620"/>
      <c r="K25" s="621" t="str">
        <f>'Area Data'!G40</f>
        <v xml:space="preserve">Utilities </v>
      </c>
      <c r="L25" s="621"/>
      <c r="N25" s="5"/>
      <c r="O25" s="161"/>
      <c r="P25" s="2"/>
      <c r="Q25" s="2"/>
      <c r="S25" s="135"/>
      <c r="T25" s="135"/>
      <c r="U25" s="135"/>
      <c r="V25" s="66"/>
      <c r="W25" s="67"/>
      <c r="X25" s="67"/>
    </row>
    <row r="26" spans="1:24" ht="24.75" customHeight="1" x14ac:dyDescent="0.45">
      <c r="A26" s="59"/>
      <c r="B26" s="59"/>
      <c r="C26" s="59"/>
      <c r="D26" s="59"/>
      <c r="E26" s="59"/>
      <c r="F26" s="59"/>
      <c r="G26" s="59"/>
      <c r="H26" s="59"/>
      <c r="I26" s="59"/>
      <c r="J26" s="59"/>
      <c r="K26" s="59"/>
      <c r="L26" s="59"/>
      <c r="N26" s="68"/>
      <c r="O26" s="40"/>
      <c r="P26" s="2"/>
      <c r="Q26" s="2"/>
      <c r="S26" s="135"/>
      <c r="T26" s="135"/>
      <c r="U26" s="135"/>
      <c r="V26" s="3"/>
      <c r="W26" s="3"/>
      <c r="X26" s="3"/>
    </row>
    <row r="27" spans="1:24" ht="24" customHeight="1" x14ac:dyDescent="0.45">
      <c r="L27" s="213"/>
      <c r="N27" s="211"/>
      <c r="O27" s="211"/>
      <c r="R27" s="2"/>
      <c r="S27" s="135"/>
      <c r="T27" s="135"/>
      <c r="U27" s="135"/>
      <c r="V27" s="14"/>
      <c r="W27" s="14"/>
      <c r="X27" s="14"/>
    </row>
    <row r="28" spans="1:24" ht="31.5" customHeight="1" x14ac:dyDescent="0.35">
      <c r="L28" s="213"/>
      <c r="N28" s="622"/>
      <c r="O28" s="61"/>
      <c r="P28" s="5"/>
      <c r="Q28" s="5"/>
      <c r="R28" s="135"/>
      <c r="S28" s="5"/>
      <c r="T28" s="5"/>
      <c r="U28" s="5"/>
      <c r="W28" s="14"/>
      <c r="X28" s="14"/>
    </row>
    <row r="29" spans="1:24" ht="30.75" customHeight="1" x14ac:dyDescent="0.3">
      <c r="H29" s="2"/>
      <c r="I29" s="2"/>
      <c r="J29" s="2"/>
      <c r="K29" s="2"/>
      <c r="L29" s="214"/>
      <c r="M29" s="2"/>
      <c r="N29" s="622"/>
      <c r="O29" s="65"/>
      <c r="P29" s="2"/>
      <c r="Q29" s="2"/>
      <c r="R29" s="135"/>
      <c r="S29" s="5"/>
      <c r="T29" s="5"/>
      <c r="U29" s="5"/>
      <c r="W29" s="14"/>
      <c r="X29" s="14"/>
    </row>
    <row r="30" spans="1:24" ht="52.5" customHeight="1" x14ac:dyDescent="0.3">
      <c r="L30" s="214"/>
      <c r="N30" s="5"/>
      <c r="O30" s="61"/>
      <c r="R30" s="135"/>
      <c r="S30" s="5"/>
      <c r="T30" s="5"/>
      <c r="U30" s="5"/>
    </row>
    <row r="31" spans="1:24" ht="21" x14ac:dyDescent="0.3">
      <c r="L31" s="214"/>
      <c r="O31" s="61"/>
      <c r="R31" s="135"/>
    </row>
    <row r="32" spans="1:24" ht="21" x14ac:dyDescent="0.3">
      <c r="H32" s="2"/>
      <c r="I32" s="2"/>
      <c r="L32" s="214"/>
      <c r="O32" s="3"/>
      <c r="R32" s="5"/>
      <c r="S32" s="3"/>
      <c r="T32" s="3"/>
      <c r="U32" s="62"/>
    </row>
    <row r="33" spans="5:17" ht="28.5" x14ac:dyDescent="0.45">
      <c r="E33" s="3"/>
      <c r="F33" s="211"/>
      <c r="G33" s="211"/>
      <c r="H33" s="3"/>
      <c r="P33" s="2"/>
      <c r="Q33" s="2"/>
    </row>
    <row r="34" spans="5:17" x14ac:dyDescent="0.3">
      <c r="E34" s="14"/>
      <c r="P34" s="2"/>
      <c r="Q34" s="2"/>
    </row>
    <row r="35" spans="5:17" x14ac:dyDescent="0.3">
      <c r="E35" s="27"/>
      <c r="J35" s="3"/>
      <c r="K35" s="3"/>
      <c r="L35" s="62"/>
      <c r="M35" s="14"/>
      <c r="P35" s="2"/>
      <c r="Q35" s="2"/>
    </row>
    <row r="36" spans="5:17" x14ac:dyDescent="0.3">
      <c r="E36" s="27"/>
      <c r="J36" s="64"/>
      <c r="K36" s="64"/>
      <c r="L36" s="70"/>
      <c r="M36" s="14"/>
      <c r="P36" s="2"/>
      <c r="Q36" s="2"/>
    </row>
    <row r="37" spans="5:17" ht="62.25" customHeight="1" x14ac:dyDescent="0.3">
      <c r="E37" s="222"/>
      <c r="J37" s="3"/>
      <c r="K37" s="3"/>
      <c r="L37" s="71"/>
      <c r="N37" s="63"/>
      <c r="P37" s="2"/>
      <c r="Q37" s="2"/>
    </row>
    <row r="38" spans="5:17" x14ac:dyDescent="0.3">
      <c r="I38" s="3"/>
      <c r="J38" s="3"/>
      <c r="K38" s="42"/>
      <c r="L38" s="73"/>
    </row>
    <row r="39" spans="5:17" x14ac:dyDescent="0.3">
      <c r="I39" s="3"/>
      <c r="J39" s="3"/>
      <c r="K39" s="3"/>
      <c r="L39" s="3"/>
    </row>
    <row r="40" spans="5:17" x14ac:dyDescent="0.3">
      <c r="I40" s="41"/>
      <c r="J40" s="3"/>
      <c r="K40" s="3"/>
      <c r="L40" s="3"/>
    </row>
    <row r="41" spans="5:17" x14ac:dyDescent="0.3">
      <c r="I41" s="3"/>
      <c r="J41" s="14"/>
      <c r="K41" s="14"/>
      <c r="L41" s="14"/>
    </row>
    <row r="42" spans="5:17" x14ac:dyDescent="0.3">
      <c r="I42" s="3"/>
      <c r="J42" s="14"/>
      <c r="K42" s="14"/>
      <c r="L42" s="14"/>
    </row>
    <row r="43" spans="5:17" x14ac:dyDescent="0.3">
      <c r="F43" s="63"/>
      <c r="G43" s="63"/>
      <c r="I43" s="61"/>
      <c r="J43" s="14"/>
      <c r="K43" s="14"/>
      <c r="L43" s="14"/>
    </row>
    <row r="44" spans="5:17" x14ac:dyDescent="0.3">
      <c r="F44" s="61"/>
      <c r="G44" s="61"/>
      <c r="H44" s="61"/>
      <c r="I44" s="3"/>
      <c r="M44" s="62"/>
    </row>
    <row r="45" spans="5:17" x14ac:dyDescent="0.3">
      <c r="F45" s="61"/>
      <c r="G45" s="61"/>
      <c r="H45" s="61"/>
      <c r="I45" s="14"/>
    </row>
    <row r="51" spans="16:21" x14ac:dyDescent="0.3">
      <c r="P51" s="65"/>
      <c r="Q51" s="65"/>
      <c r="R51" s="27"/>
    </row>
    <row r="52" spans="16:21" x14ac:dyDescent="0.3">
      <c r="P52" s="26"/>
      <c r="Q52" s="61"/>
      <c r="R52" s="27"/>
    </row>
    <row r="53" spans="16:21" x14ac:dyDescent="0.3">
      <c r="P53" s="72"/>
      <c r="Q53" s="61"/>
      <c r="R53" s="222"/>
    </row>
    <row r="54" spans="16:21" x14ac:dyDescent="0.3">
      <c r="P54" s="61"/>
      <c r="Q54" s="26"/>
      <c r="R54" s="222"/>
    </row>
    <row r="55" spans="16:21" x14ac:dyDescent="0.3">
      <c r="P55" s="3"/>
      <c r="Q55" s="3"/>
    </row>
    <row r="56" spans="16:21" x14ac:dyDescent="0.3">
      <c r="P56" s="14"/>
      <c r="Q56" s="14"/>
      <c r="S56" s="41"/>
      <c r="T56" s="41"/>
      <c r="U56" s="63"/>
    </row>
    <row r="57" spans="16:21" x14ac:dyDescent="0.3">
      <c r="P57" s="27"/>
      <c r="Q57" s="27"/>
    </row>
    <row r="58" spans="16:21" x14ac:dyDescent="0.3">
      <c r="P58" s="27"/>
      <c r="Q58" s="27"/>
    </row>
    <row r="59" spans="16:21" x14ac:dyDescent="0.3">
      <c r="P59" s="222"/>
      <c r="Q59" s="222"/>
    </row>
    <row r="60" spans="16:21" x14ac:dyDescent="0.3">
      <c r="P60" s="222"/>
      <c r="Q60" s="222"/>
      <c r="R60" s="3"/>
    </row>
    <row r="66" spans="16:17" x14ac:dyDescent="0.3">
      <c r="P66" s="61"/>
      <c r="Q66" s="61"/>
    </row>
  </sheetData>
  <mergeCells count="19">
    <mergeCell ref="H21:J21"/>
    <mergeCell ref="K21:L21"/>
    <mergeCell ref="A20:F20"/>
    <mergeCell ref="H19:L19"/>
    <mergeCell ref="A21:D21"/>
    <mergeCell ref="H20:J20"/>
    <mergeCell ref="K20:L20"/>
    <mergeCell ref="H25:J25"/>
    <mergeCell ref="K25:L25"/>
    <mergeCell ref="N28:N29"/>
    <mergeCell ref="A23:D23"/>
    <mergeCell ref="H22:J22"/>
    <mergeCell ref="K22:L22"/>
    <mergeCell ref="A24:D24"/>
    <mergeCell ref="H23:J23"/>
    <mergeCell ref="K23:L23"/>
    <mergeCell ref="A22:D22"/>
    <mergeCell ref="H24:J24"/>
    <mergeCell ref="K24:L24"/>
  </mergeCells>
  <pageMargins left="0.65" right="0.12" top="0.34" bottom="0.03" header="0.22" footer="0.15"/>
  <pageSetup scale="6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T75"/>
  <sheetViews>
    <sheetView zoomScale="65" zoomScaleNormal="65" workbookViewId="0">
      <selection activeCell="N35" sqref="N35"/>
    </sheetView>
  </sheetViews>
  <sheetFormatPr defaultRowHeight="18.75" x14ac:dyDescent="0.3"/>
  <cols>
    <col min="1" max="1" width="6.3984375" customWidth="1"/>
    <col min="2" max="2" width="37.59765625" style="9" customWidth="1"/>
    <col min="3" max="4" width="15" style="150" customWidth="1"/>
    <col min="5" max="5" width="3.296875" style="82" customWidth="1"/>
    <col min="6" max="6" width="40.19921875" style="12" customWidth="1"/>
    <col min="7" max="7" width="28.296875" style="12" customWidth="1"/>
    <col min="8" max="8" width="14.5" style="12" customWidth="1"/>
    <col min="9" max="9" width="12" style="2" customWidth="1"/>
    <col min="10" max="10" width="12.59765625" style="2" customWidth="1"/>
    <col min="11" max="11" width="3.3984375" customWidth="1"/>
    <col min="12" max="12" width="20.09765625" customWidth="1"/>
    <col min="13" max="13" width="14.09765625" bestFit="1" customWidth="1"/>
    <col min="14" max="14" width="11.3984375" customWidth="1"/>
    <col min="15" max="15" width="10.5" bestFit="1" customWidth="1"/>
  </cols>
  <sheetData>
    <row r="1" spans="1:15" ht="39.75" customHeight="1" x14ac:dyDescent="0.45">
      <c r="A1" s="562">
        <v>0</v>
      </c>
      <c r="B1" s="290" t="s">
        <v>155</v>
      </c>
      <c r="C1" s="315" t="s">
        <v>403</v>
      </c>
      <c r="D1" s="315">
        <v>2011</v>
      </c>
      <c r="E1" s="316"/>
      <c r="F1" s="317" t="s">
        <v>437</v>
      </c>
      <c r="G1" s="317" t="str">
        <f>'Area Data'!G1</f>
        <v>OCT-DEC 2011</v>
      </c>
      <c r="H1" s="561">
        <v>0</v>
      </c>
      <c r="I1" s="317"/>
      <c r="J1" s="318"/>
      <c r="K1" s="319"/>
    </row>
    <row r="2" spans="1:15" s="21" customFormat="1" ht="31.5" x14ac:dyDescent="0.5">
      <c r="A2" s="320"/>
      <c r="B2" s="633" t="s">
        <v>75</v>
      </c>
      <c r="C2" s="633"/>
      <c r="D2" s="633"/>
      <c r="E2" s="321"/>
      <c r="F2" s="634" t="s">
        <v>74</v>
      </c>
      <c r="G2" s="634"/>
      <c r="H2" s="634"/>
      <c r="I2" s="634"/>
      <c r="J2" s="634"/>
      <c r="K2" s="634"/>
      <c r="L2" s="137"/>
    </row>
    <row r="3" spans="1:15" x14ac:dyDescent="0.3">
      <c r="A3" s="291"/>
      <c r="B3" s="285" t="s">
        <v>92</v>
      </c>
      <c r="C3" s="322"/>
      <c r="D3" s="323"/>
      <c r="E3" s="321"/>
      <c r="F3" s="140" t="s">
        <v>1</v>
      </c>
      <c r="G3" s="140" t="s">
        <v>29</v>
      </c>
      <c r="H3" s="140" t="s">
        <v>33</v>
      </c>
      <c r="I3" s="140" t="s">
        <v>55</v>
      </c>
      <c r="J3" s="140" t="s">
        <v>108</v>
      </c>
      <c r="K3" s="324"/>
      <c r="L3" s="3"/>
      <c r="M3" s="3"/>
      <c r="N3" s="3"/>
      <c r="O3" s="3"/>
    </row>
    <row r="4" spans="1:15" ht="27" x14ac:dyDescent="0.3">
      <c r="A4" s="291"/>
      <c r="B4" s="262" t="s">
        <v>8</v>
      </c>
      <c r="C4" s="262" t="s">
        <v>353</v>
      </c>
      <c r="D4" s="262" t="s">
        <v>227</v>
      </c>
      <c r="E4" s="325"/>
      <c r="F4" s="139" t="s">
        <v>30</v>
      </c>
      <c r="G4" s="169">
        <f>VLOOKUP($A$1,'Common Measures'!$A$3:$K$15,3,)</f>
        <v>165451</v>
      </c>
      <c r="H4" s="169">
        <f>VLOOKUP($A$1,'Common Measures'!$A$3:$K$15,4,)</f>
        <v>316747</v>
      </c>
      <c r="I4" s="326">
        <f>VLOOKUP($A$1,'Common Measures'!$A$3:$K$15,5,)</f>
        <v>0.52</v>
      </c>
      <c r="J4" s="327">
        <f>'Common Measures'!C16</f>
        <v>0.52</v>
      </c>
      <c r="K4" s="324"/>
      <c r="L4" s="3"/>
      <c r="M4" s="3"/>
      <c r="N4" s="3"/>
      <c r="O4" s="3"/>
    </row>
    <row r="5" spans="1:15" x14ac:dyDescent="0.3">
      <c r="A5" s="291"/>
      <c r="B5" s="152" t="s">
        <v>8</v>
      </c>
      <c r="C5" s="158">
        <f>GETPIVOTDATA("Sum of all",'State PivotTables'!$A$2)</f>
        <v>170822</v>
      </c>
      <c r="D5" s="153"/>
      <c r="E5" s="325"/>
      <c r="F5" s="139" t="s">
        <v>11</v>
      </c>
      <c r="G5" s="169">
        <f>VLOOKUP('State Data'!A1,'Common Measures'!$A$19:$AK$31,2,)</f>
        <v>1986</v>
      </c>
      <c r="H5" s="169">
        <f>VLOOKUP('State Data'!A1,'Common Measures'!$A$19:$AK$31,3,)</f>
        <v>2604</v>
      </c>
      <c r="I5" s="327">
        <f>VLOOKUP('State Data'!A1,'Common Measures'!$A$19:$AK$31,4,)</f>
        <v>0.76267281105990781</v>
      </c>
      <c r="J5" s="327">
        <f>VLOOKUP('State Data'!A1,'Common Measures'!$A$19:$AK$31,5,)</f>
        <v>0.752</v>
      </c>
      <c r="K5" s="324"/>
      <c r="L5" s="3"/>
      <c r="M5" s="3"/>
      <c r="N5" s="3"/>
      <c r="O5" s="3"/>
    </row>
    <row r="6" spans="1:15" ht="22.5" customHeight="1" x14ac:dyDescent="0.3">
      <c r="A6" s="291"/>
      <c r="B6" s="154" t="s">
        <v>97</v>
      </c>
      <c r="C6" s="158">
        <f>GETPIVOTDATA("Sum of staffassist",'State PivotTables'!$A$2)</f>
        <v>103548</v>
      </c>
      <c r="D6" s="153">
        <f>C6/C5</f>
        <v>0.60617484867288751</v>
      </c>
      <c r="E6" s="325"/>
      <c r="F6" s="139" t="s">
        <v>31</v>
      </c>
      <c r="G6" s="169">
        <f>VLOOKUP('State Data'!A1,'Common Measures'!$A$19:$AK$31,14,)</f>
        <v>2831</v>
      </c>
      <c r="H6" s="169">
        <f>VLOOKUP('State Data'!A1,'Common Measures'!$A$19:$AK$31,15,)</f>
        <v>3457</v>
      </c>
      <c r="I6" s="327">
        <f>VLOOKUP('State Data'!A1,'Common Measures'!$A$19:$AK$31,16,)</f>
        <v>0.81891813711310379</v>
      </c>
      <c r="J6" s="327">
        <f>VLOOKUP('State Data'!A1,'Common Measures'!$A$19:$AK$31,17,)</f>
        <v>0.73599999999999999</v>
      </c>
      <c r="K6" s="324"/>
      <c r="L6" s="3"/>
      <c r="M6" s="3"/>
      <c r="N6" s="3"/>
      <c r="O6" s="3"/>
    </row>
    <row r="7" spans="1:15" x14ac:dyDescent="0.3">
      <c r="A7" s="291"/>
      <c r="B7" s="154" t="s">
        <v>51</v>
      </c>
      <c r="C7" s="158">
        <f>GETPIVOTDATA("Sum of self",'State PivotTables'!$A$2)</f>
        <v>67274</v>
      </c>
      <c r="D7" s="153">
        <f>C7/C5</f>
        <v>0.39382515132711243</v>
      </c>
      <c r="E7" s="325"/>
      <c r="F7" s="167" t="s">
        <v>2</v>
      </c>
      <c r="G7" s="167" t="s">
        <v>32</v>
      </c>
      <c r="H7" s="167" t="s">
        <v>33</v>
      </c>
      <c r="I7" s="167" t="s">
        <v>155</v>
      </c>
      <c r="J7" s="167" t="s">
        <v>108</v>
      </c>
      <c r="K7" s="324"/>
      <c r="L7" s="3"/>
      <c r="M7" s="3"/>
      <c r="N7" s="3"/>
      <c r="O7" s="3"/>
    </row>
    <row r="8" spans="1:15" ht="27.75" customHeight="1" x14ac:dyDescent="0.3">
      <c r="A8" s="291"/>
      <c r="B8" s="154" t="s">
        <v>52</v>
      </c>
      <c r="C8" s="158">
        <f>GETPIVOTDATA("Sum of core",'State PivotTables'!$A$2)</f>
        <v>90872</v>
      </c>
      <c r="D8" s="153">
        <f>C8/$C$6</f>
        <v>0.8775833429906903</v>
      </c>
      <c r="E8" s="325"/>
      <c r="F8" s="139" t="s">
        <v>30</v>
      </c>
      <c r="G8" s="169">
        <f>VLOOKUP($A$1,'Common Measures'!$A$3:$K$15,6,)</f>
        <v>210910</v>
      </c>
      <c r="H8" s="169">
        <f>VLOOKUP($A$1,'Common Measures'!$A$3:$K$15,7,)</f>
        <v>265936</v>
      </c>
      <c r="I8" s="326">
        <f>VLOOKUP($A$1,'Common Measures'!$A$3:$K$15,8,)</f>
        <v>0.79</v>
      </c>
      <c r="J8" s="327">
        <f>'Common Measures'!E16</f>
        <v>0.76600000000000001</v>
      </c>
      <c r="K8" s="324"/>
      <c r="L8" s="67"/>
      <c r="M8" s="3"/>
      <c r="N8" s="3"/>
      <c r="O8" s="3"/>
    </row>
    <row r="9" spans="1:15" ht="21.75" customHeight="1" x14ac:dyDescent="0.3">
      <c r="A9" s="291"/>
      <c r="B9" s="154" t="s">
        <v>49</v>
      </c>
      <c r="C9" s="158">
        <f>GETPIVOTDATA("Sum of coreint",'State PivotTables'!$A$2)</f>
        <v>10634</v>
      </c>
      <c r="D9" s="153">
        <f>C9/$C$6</f>
        <v>0.10269633406729246</v>
      </c>
      <c r="E9" s="325"/>
      <c r="F9" s="139" t="s">
        <v>11</v>
      </c>
      <c r="G9" s="169">
        <f>VLOOKUP('State Data'!A1,'Common Measures'!$A$19:$AK$31,6,)</f>
        <v>2119</v>
      </c>
      <c r="H9" s="169">
        <f>VLOOKUP('State Data'!A1,'Common Measures'!$A$19:$AK$31,7,)</f>
        <v>2493</v>
      </c>
      <c r="I9" s="327">
        <f>VLOOKUP('State Data'!A1,'Common Measures'!$A$19:$AK$31,8,)</f>
        <v>0.84997994384275977</v>
      </c>
      <c r="J9" s="327">
        <f>VLOOKUP('State Data'!A1,'Common Measures'!$A$19:$AK$31,9,)</f>
        <v>0.81</v>
      </c>
      <c r="K9" s="324"/>
      <c r="L9" s="3"/>
      <c r="M9" s="3"/>
      <c r="N9" s="3"/>
      <c r="O9" s="3"/>
    </row>
    <row r="10" spans="1:15" ht="30" customHeight="1" x14ac:dyDescent="0.3">
      <c r="A10" s="291"/>
      <c r="B10" s="154" t="s">
        <v>98</v>
      </c>
      <c r="C10" s="158">
        <f>GETPIVOTDATA("Sum of newtraining",'State PivotTables'!$A$2)</f>
        <v>2042</v>
      </c>
      <c r="D10" s="153">
        <f>C10/$C$6</f>
        <v>1.972032294201723E-2</v>
      </c>
      <c r="E10" s="325"/>
      <c r="F10" s="139" t="s">
        <v>31</v>
      </c>
      <c r="G10" s="169">
        <f>VLOOKUP('State Data'!A1,'Common Measures'!$A$19:$AK$31,18,)</f>
        <v>2506</v>
      </c>
      <c r="H10" s="169">
        <f>VLOOKUP('State Data'!A1,'Common Measures'!$A$19:$AK$31,19,)</f>
        <v>2841</v>
      </c>
      <c r="I10" s="327">
        <f>VLOOKUP('State Data'!A1,'Common Measures'!$A$19:$AK$31,20,)</f>
        <v>0.88208377331925381</v>
      </c>
      <c r="J10" s="327">
        <f>VLOOKUP('State Data'!A1,'Common Measures'!$A$19:$AK$31,21,)</f>
        <v>0.83899999999999997</v>
      </c>
      <c r="K10" s="324"/>
      <c r="L10" s="3"/>
      <c r="M10" s="3"/>
      <c r="N10" s="3"/>
      <c r="O10" s="3"/>
    </row>
    <row r="11" spans="1:15" ht="24.75" customHeight="1" x14ac:dyDescent="0.3">
      <c r="A11" s="291"/>
      <c r="B11" s="154" t="s">
        <v>99</v>
      </c>
      <c r="C11" s="158">
        <f>GETPIVOTDATA("Sum of ongoing",'State PivotTables'!$A$2)</f>
        <v>7511</v>
      </c>
      <c r="D11" s="153">
        <f>C11/$C$6</f>
        <v>7.2536408235794034E-2</v>
      </c>
      <c r="E11" s="325"/>
      <c r="F11" s="167" t="s">
        <v>3</v>
      </c>
      <c r="G11" s="167" t="s">
        <v>34</v>
      </c>
      <c r="H11" s="167" t="s">
        <v>33</v>
      </c>
      <c r="I11" s="167" t="s">
        <v>155</v>
      </c>
      <c r="J11" s="167" t="s">
        <v>108</v>
      </c>
      <c r="K11" s="324"/>
      <c r="L11" s="3"/>
      <c r="M11" s="3"/>
      <c r="N11" s="3"/>
      <c r="O11" s="3"/>
    </row>
    <row r="12" spans="1:15" ht="31.5" customHeight="1" x14ac:dyDescent="0.3">
      <c r="A12" s="291"/>
      <c r="B12" s="155" t="s">
        <v>37</v>
      </c>
      <c r="C12" s="168">
        <f>GETPIVOTDATA("Sum of complete",'State PivotTables'!$A$2)</f>
        <v>1822</v>
      </c>
      <c r="D12" s="153">
        <f>C12/$C$6</f>
        <v>1.7595704407617725E-2</v>
      </c>
      <c r="E12" s="325"/>
      <c r="F12" s="139" t="s">
        <v>30</v>
      </c>
      <c r="G12" s="328">
        <f>VLOOKUP($A$1,'Common Measures'!$A$3:$K$15,9,)</f>
        <v>3022502645</v>
      </c>
      <c r="H12" s="329">
        <f>VLOOKUP($A$1,'Common Measures'!$A$3:$K$15,10,)</f>
        <v>209212</v>
      </c>
      <c r="I12" s="330">
        <f>VLOOKUP($A$1,'Common Measures'!$A$3:$K$15,11,)</f>
        <v>14447</v>
      </c>
      <c r="J12" s="331">
        <f>'Common Measures'!G16</f>
        <v>13500</v>
      </c>
      <c r="K12" s="324"/>
      <c r="L12" s="3"/>
      <c r="M12" s="3"/>
      <c r="N12" s="3"/>
      <c r="O12" s="3"/>
    </row>
    <row r="13" spans="1:15" ht="27" x14ac:dyDescent="0.3">
      <c r="A13" s="291"/>
      <c r="B13" s="371" t="s">
        <v>93</v>
      </c>
      <c r="C13" s="170" t="s">
        <v>352</v>
      </c>
      <c r="D13" s="262" t="s">
        <v>227</v>
      </c>
      <c r="E13" s="325"/>
      <c r="F13" s="139" t="s">
        <v>11</v>
      </c>
      <c r="G13" s="169">
        <f>VLOOKUP('State Data'!A1,'Common Measures'!$A$19:$AK$31,10,)</f>
        <v>28153971</v>
      </c>
      <c r="H13" s="169">
        <f>VLOOKUP('State Data'!A1,'Common Measures'!$A$19:$AK$31,11,)</f>
        <v>2106</v>
      </c>
      <c r="I13" s="331">
        <f>VLOOKUP('State Data'!A1,'Common Measures'!$A$19:$AK$31,12,)</f>
        <v>13368.457264957266</v>
      </c>
      <c r="J13" s="331">
        <f>VLOOKUP('State Data'!A1,'Common Measures'!$A$19:$AK$31,13,)</f>
        <v>9456</v>
      </c>
      <c r="K13" s="324"/>
      <c r="L13" s="3"/>
      <c r="M13" s="3"/>
      <c r="N13" s="3"/>
      <c r="O13" s="3"/>
    </row>
    <row r="14" spans="1:15" ht="28.5" customHeight="1" x14ac:dyDescent="0.3">
      <c r="A14" s="291"/>
      <c r="B14" s="139" t="s">
        <v>348</v>
      </c>
      <c r="C14" s="169">
        <f>GETPIVOTDATA("Sum of JobSearch",'State PivotTables'!$A$7)</f>
        <v>77118</v>
      </c>
      <c r="D14" s="151">
        <f>C14/$C$6</f>
        <v>0.74475605516282306</v>
      </c>
      <c r="E14" s="325"/>
      <c r="F14" s="139" t="s">
        <v>31</v>
      </c>
      <c r="G14" s="169">
        <f>VLOOKUP('State Data'!A1,'Common Measures'!$A$19:$AK$31,22,)</f>
        <v>48755961</v>
      </c>
      <c r="H14" s="169">
        <f>VLOOKUP('State Data'!A1,'Common Measures'!$A$19:$AK$31,23,)</f>
        <v>2483</v>
      </c>
      <c r="I14" s="331">
        <f>VLOOKUP('State Data'!A1,'Common Measures'!$A$19:$AK$31,24,)</f>
        <v>19635.91</v>
      </c>
      <c r="J14" s="331">
        <f>VLOOKUP('State Data'!A1,'Common Measures'!$A$19:$AK$31,25,)</f>
        <v>14043</v>
      </c>
      <c r="K14" s="324"/>
      <c r="L14" s="3"/>
      <c r="M14" s="143"/>
      <c r="N14" s="143"/>
      <c r="O14" s="143"/>
    </row>
    <row r="15" spans="1:15" ht="40.5" customHeight="1" x14ac:dyDescent="0.3">
      <c r="A15" s="291"/>
      <c r="B15" s="156" t="s">
        <v>53</v>
      </c>
      <c r="C15" s="158">
        <f>GETPIVOTDATA("Sum of Assessments",'State PivotTables'!$A$7)</f>
        <v>45780</v>
      </c>
      <c r="D15" s="151">
        <f>C15/$C$6</f>
        <v>0.44211380229458802</v>
      </c>
      <c r="E15" s="325"/>
      <c r="F15" s="167" t="s">
        <v>4</v>
      </c>
      <c r="G15" s="167" t="s">
        <v>38</v>
      </c>
      <c r="H15" s="167" t="s">
        <v>33</v>
      </c>
      <c r="I15" s="167" t="s">
        <v>155</v>
      </c>
      <c r="J15" s="167" t="s">
        <v>108</v>
      </c>
      <c r="K15" s="324"/>
      <c r="L15" s="3"/>
      <c r="M15" s="3"/>
      <c r="N15" s="3"/>
      <c r="O15" s="3"/>
    </row>
    <row r="16" spans="1:15" ht="36" customHeight="1" x14ac:dyDescent="0.3">
      <c r="A16" s="291"/>
      <c r="B16" s="157" t="s">
        <v>12</v>
      </c>
      <c r="C16" s="169">
        <f>GETPIVOTDATA("Sum of SkillDevelopment",'State PivotTables'!$A$7)</f>
        <v>5887</v>
      </c>
      <c r="D16" s="151">
        <f>C16/$C$6</f>
        <v>5.6852860509135857E-2</v>
      </c>
      <c r="E16" s="325"/>
      <c r="F16" s="139" t="s">
        <v>5</v>
      </c>
      <c r="G16" s="169">
        <f>VLOOKUP('State Data'!A1,'Common Measures'!$A$19:$AK$31,26,)</f>
        <v>1180</v>
      </c>
      <c r="H16" s="169">
        <f>VLOOKUP('State Data'!A1,'Common Measures'!$A$19:$AK$31,27,)</f>
        <v>1535</v>
      </c>
      <c r="I16" s="327">
        <f>VLOOKUP('State Data'!A1,'Common Measures'!$A$19:$AK$31,28,)</f>
        <v>0.76872964169381108</v>
      </c>
      <c r="J16" s="327">
        <f>VLOOKUP('State Data'!A1,'Common Measures'!$A$19:$AK$31,29,)</f>
        <v>0.753</v>
      </c>
      <c r="K16" s="324"/>
      <c r="L16" s="3"/>
      <c r="M16" s="3"/>
      <c r="N16" s="3"/>
      <c r="O16" s="3"/>
    </row>
    <row r="17" spans="1:20" x14ac:dyDescent="0.3">
      <c r="A17" s="291"/>
      <c r="B17" s="154" t="s">
        <v>54</v>
      </c>
      <c r="C17" s="158">
        <f>GETPIVOTDATA("Sum of CommunityReferral",'State PivotTables'!$A$7)</f>
        <v>3252</v>
      </c>
      <c r="D17" s="151">
        <f>C17/$C$6</f>
        <v>3.1405724881214507E-2</v>
      </c>
      <c r="E17" s="325"/>
      <c r="F17" s="139" t="s">
        <v>6</v>
      </c>
      <c r="G17" s="169">
        <f>VLOOKUP('State Data'!A1,'Common Measures'!$A$19:$AK$31,30,)</f>
        <v>400</v>
      </c>
      <c r="H17" s="169">
        <f>VLOOKUP('State Data'!A1,'Common Measures'!$A$19:$AK$31,31,)</f>
        <v>753</v>
      </c>
      <c r="I17" s="327">
        <f>VLOOKUP('State Data'!A1,'Common Measures'!$A$19:$AK$31,32,)</f>
        <v>0.53120849933598935</v>
      </c>
      <c r="J17" s="327">
        <f>VLOOKUP('State Data'!A1,'Common Measures'!$A$19:$AK$31,33,)</f>
        <v>0.44</v>
      </c>
      <c r="K17" s="324"/>
      <c r="L17" s="3"/>
      <c r="M17" s="3"/>
      <c r="N17" s="3"/>
      <c r="O17" s="3"/>
    </row>
    <row r="18" spans="1:20" x14ac:dyDescent="0.3">
      <c r="A18" s="291"/>
      <c r="B18" s="170" t="s">
        <v>18</v>
      </c>
      <c r="C18" s="170" t="s">
        <v>352</v>
      </c>
      <c r="D18" s="170" t="s">
        <v>101</v>
      </c>
      <c r="E18" s="325"/>
      <c r="F18" s="139" t="s">
        <v>7</v>
      </c>
      <c r="G18" s="169">
        <f>VLOOKUP('State Data'!A1,'Common Measures'!$A$19:$AK$31,34,)</f>
        <v>1192</v>
      </c>
      <c r="H18" s="169">
        <f>VLOOKUP('State Data'!A1,'Common Measures'!$A$19:$AK$31,35,)</f>
        <v>1799</v>
      </c>
      <c r="I18" s="327">
        <f>VLOOKUP('State Data'!A1,'Common Measures'!$A$19:$AK$31,36,)</f>
        <v>0.66259032795997774</v>
      </c>
      <c r="J18" s="327">
        <f>VLOOKUP('State Data'!A1,'Common Measures'!$A$19:$AK$31,37,)</f>
        <v>0.53900000000000003</v>
      </c>
      <c r="K18" s="324"/>
      <c r="L18" s="3"/>
      <c r="M18" s="67"/>
      <c r="N18" s="81"/>
      <c r="O18" s="3"/>
    </row>
    <row r="19" spans="1:20" x14ac:dyDescent="0.3">
      <c r="A19" s="294"/>
      <c r="B19" s="154" t="s">
        <v>18</v>
      </c>
      <c r="C19" s="158">
        <f>GETPIVOTDATA("Sum of currentprogram",'State PivotTables'!$A$12)</f>
        <v>18477</v>
      </c>
      <c r="D19" s="158">
        <f>GETPIVOTDATA("Sum of program1yearago",'State PivotTables'!$A$12)</f>
        <v>22759</v>
      </c>
      <c r="E19" s="325"/>
      <c r="F19" s="171"/>
      <c r="G19" s="171"/>
      <c r="H19" s="172"/>
      <c r="I19" s="172"/>
      <c r="J19" s="172"/>
      <c r="K19" s="324"/>
      <c r="L19" s="3"/>
      <c r="M19" s="67"/>
      <c r="N19" s="67"/>
      <c r="O19" s="3"/>
    </row>
    <row r="20" spans="1:20" x14ac:dyDescent="0.3">
      <c r="A20" s="291"/>
      <c r="B20" s="154" t="s">
        <v>15</v>
      </c>
      <c r="C20" s="208">
        <f>GETPIVOTDATA("Sum of wiacurrent",'State PivotTables'!$A$12)</f>
        <v>9222</v>
      </c>
      <c r="D20" s="158">
        <f>GETPIVOTDATA("Sum of wia1yearago",'State PivotTables'!$A$12)</f>
        <v>11480</v>
      </c>
      <c r="E20" s="325"/>
      <c r="F20" s="167" t="s">
        <v>39</v>
      </c>
      <c r="G20" s="203" t="str">
        <f>VLOOKUP($F$1,Lists!$A$16:$H$44,5,)</f>
        <v>PY09 Q4</v>
      </c>
      <c r="H20" s="203" t="str">
        <f>VLOOKUP($F$1,Lists!$A$16:$H$44,6,)</f>
        <v>PY10 Q1</v>
      </c>
      <c r="I20" s="203" t="str">
        <f>VLOOKUP($F$1,Lists!$A$16:$H$44,7,)</f>
        <v>PY10 Q2</v>
      </c>
      <c r="J20" s="203" t="str">
        <f>VLOOKUP($F$1,Lists!$A$16:$H$44,8,)</f>
        <v>PY10 Q3</v>
      </c>
      <c r="K20" s="324"/>
    </row>
    <row r="21" spans="1:20" s="2" customFormat="1" ht="29.25" customHeight="1" x14ac:dyDescent="0.3">
      <c r="A21" s="291"/>
      <c r="B21" s="154" t="s">
        <v>19</v>
      </c>
      <c r="C21" s="158">
        <f>GETPIVOTDATA("Sum of wianewcurrent",'State PivotTables'!$A$12)</f>
        <v>1416</v>
      </c>
      <c r="D21" s="158">
        <f>GETPIVOTDATA("Sum of wianew1yearago",'State PivotTables'!$A$12)</f>
        <v>1783</v>
      </c>
      <c r="E21" s="325"/>
      <c r="F21" s="252" t="s">
        <v>422</v>
      </c>
      <c r="G21" s="302">
        <f>GETPIVOTDATA("Area Employed",DBPivot!$A$3,"WDA",$A$1,"PYQ",G20)</f>
        <v>3203803</v>
      </c>
      <c r="H21" s="302">
        <f>GETPIVOTDATA("Area Employed",DBPivot!$A$3,"WDA",$A$1,"PYQ",H20)</f>
        <v>3214420</v>
      </c>
      <c r="I21" s="302">
        <f>GETPIVOTDATA("Area Employed",DBPivot!$A$3,"WDA",$A$1,"PYQ",I20)</f>
        <v>3205983</v>
      </c>
      <c r="J21" s="302">
        <f>GETPIVOTDATA("Area Employed",DBPivot!$A$3,"WDA",$A$1,"PYQ",J20)</f>
        <v>3148303</v>
      </c>
      <c r="K21" s="324"/>
    </row>
    <row r="22" spans="1:20" x14ac:dyDescent="0.3">
      <c r="A22" s="291"/>
      <c r="B22" s="95" t="s">
        <v>20</v>
      </c>
      <c r="C22" s="158">
        <f>GETPIVOTDATA("Sum of wiaexitcurrent",'State PivotTables'!$A$12)</f>
        <v>1400</v>
      </c>
      <c r="D22" s="158">
        <f>GETPIVOTDATA("Sum of wiaexit1yearago",'State PivotTables'!$A$12)</f>
        <v>1854</v>
      </c>
      <c r="E22" s="325"/>
      <c r="F22" s="252" t="s">
        <v>194</v>
      </c>
      <c r="G22" s="302">
        <f>GETPIVOTDATA("Area Unemployed",DBPivot!$A$3,"WDA",$A$1,"PYQ",G$20)</f>
        <v>334053</v>
      </c>
      <c r="H22" s="302">
        <f>GETPIVOTDATA("Area Unemployed",DBPivot!$A$3,"WDA",$A$1,"PYQ",H$20)</f>
        <v>321697</v>
      </c>
      <c r="I22" s="302">
        <f>GETPIVOTDATA("Area Unemployed",DBPivot!$A$3,"WDA",$A$1,"PYQ",I$20)</f>
        <v>321513</v>
      </c>
      <c r="J22" s="302">
        <f>GETPIVOTDATA("Area Unemployed",DBPivot!$A$3,"WDA",$A$1,"PYQ",J$20)</f>
        <v>344730</v>
      </c>
      <c r="K22" s="324"/>
      <c r="M22" s="1"/>
    </row>
    <row r="23" spans="1:20" ht="28.5" customHeight="1" x14ac:dyDescent="0.3">
      <c r="A23" s="294"/>
      <c r="B23" s="170" t="s">
        <v>94</v>
      </c>
      <c r="C23" s="170" t="s">
        <v>100</v>
      </c>
      <c r="D23" s="170" t="s">
        <v>101</v>
      </c>
      <c r="E23" s="325"/>
      <c r="F23" s="252" t="s">
        <v>395</v>
      </c>
      <c r="G23" s="302">
        <f>GETPIVOTDATA("Area Labor Force",DBPivot!$A$3,"WDA",$A$1,"PYQ",G$20)</f>
        <v>3537857</v>
      </c>
      <c r="H23" s="302">
        <f>GETPIVOTDATA("Area Labor Force",DBPivot!$A$3,"WDA",$A$1,"PYQ",H$20)</f>
        <v>3536117</v>
      </c>
      <c r="I23" s="302">
        <f>GETPIVOTDATA("Area Labor Force",DBPivot!$A$3,"WDA",$A$1,"PYQ",I$20)</f>
        <v>3527497</v>
      </c>
      <c r="J23" s="302">
        <f>GETPIVOTDATA("Area Labor Force",DBPivot!$A$3,"WDA",$A$1,"PYQ",J$20)</f>
        <v>3493033</v>
      </c>
      <c r="K23" s="324"/>
      <c r="M23" s="1"/>
      <c r="N23" s="1"/>
      <c r="O23" s="1"/>
      <c r="S23" s="16"/>
      <c r="T23" s="18"/>
    </row>
    <row r="24" spans="1:20" ht="24.75" customHeight="1" x14ac:dyDescent="0.35">
      <c r="A24" s="291"/>
      <c r="B24" s="159" t="s">
        <v>9</v>
      </c>
      <c r="C24" s="158">
        <f>GETPIVOTDATA("Sum of 3COUNT OF JOB ORDERS AND JOB OPENINGS_SumOfJOB OPENINGS",'State PivotTables'!$A$17)</f>
        <v>9068</v>
      </c>
      <c r="D24" s="158">
        <f>GETPIVOTDATA("Sum of 3CountOfJobORders1YearAgo_SumOfJOB OPENINGS",'State PivotTables'!$A$17)</f>
        <v>10838</v>
      </c>
      <c r="E24" s="325"/>
      <c r="F24" s="139" t="s">
        <v>40</v>
      </c>
      <c r="G24" s="332">
        <f>G22/G23</f>
        <v>9.4422414472942237E-2</v>
      </c>
      <c r="H24" s="332">
        <f>H22/H23</f>
        <v>9.0974648180475931E-2</v>
      </c>
      <c r="I24" s="332">
        <f>I22/I23</f>
        <v>9.1144797571762637E-2</v>
      </c>
      <c r="J24" s="332">
        <f>J22/J23</f>
        <v>9.869073667497559E-2</v>
      </c>
      <c r="K24" s="324"/>
      <c r="L24" s="605" t="s">
        <v>607</v>
      </c>
      <c r="M24" s="605"/>
      <c r="N24" s="605"/>
      <c r="O24" s="605"/>
    </row>
    <row r="25" spans="1:20" ht="32.25" x14ac:dyDescent="0.3">
      <c r="A25" s="304"/>
      <c r="B25" s="159" t="s">
        <v>22</v>
      </c>
      <c r="C25" s="158">
        <f>GETPIVOTDATA("Sum of 3CountOfEmployersServed_CountOfEMPLOYER_ID",'State PivotTables'!$A$17)</f>
        <v>5746</v>
      </c>
      <c r="D25" s="158">
        <f>GETPIVOTDATA("Sum of 3CountOfEmployersServed1YearAgo_CountOfEMPLOYER_ID",'State PivotTables'!$A$17)</f>
        <v>7096</v>
      </c>
      <c r="E25" s="325"/>
      <c r="F25" s="167" t="s">
        <v>41</v>
      </c>
      <c r="G25" s="203" t="s">
        <v>25</v>
      </c>
      <c r="H25" s="203" t="s">
        <v>311</v>
      </c>
      <c r="I25" s="203" t="s">
        <v>16</v>
      </c>
      <c r="J25" s="167"/>
      <c r="K25" s="324"/>
      <c r="L25" s="167" t="s">
        <v>41</v>
      </c>
      <c r="M25" s="167" t="s">
        <v>25</v>
      </c>
      <c r="N25" s="167" t="s">
        <v>17</v>
      </c>
      <c r="O25" s="167" t="s">
        <v>16</v>
      </c>
      <c r="S25" s="16"/>
      <c r="T25" s="18"/>
    </row>
    <row r="26" spans="1:20" s="2" customFormat="1" x14ac:dyDescent="0.3">
      <c r="A26" s="304"/>
      <c r="B26" s="266" t="s">
        <v>722</v>
      </c>
      <c r="C26" s="158">
        <f>GETPIVOTDATA("Sum of 4CountAllJobOrders_CountOfJOB_ORDER_ID",'Area Pivot Tables'!$A$54)</f>
        <v>20498</v>
      </c>
      <c r="D26" s="158">
        <f>GETPIVOTDATA("Sum of lastyearJOS",'Area Pivot Tables'!$A$54)</f>
        <v>21014</v>
      </c>
      <c r="E26" s="325"/>
      <c r="F26" s="333" t="s">
        <v>10</v>
      </c>
      <c r="G26" s="563">
        <f>M26</f>
        <v>6724540</v>
      </c>
      <c r="H26" s="158">
        <f>N26</f>
        <v>368525</v>
      </c>
      <c r="I26" s="225">
        <f>O26</f>
        <v>18764</v>
      </c>
      <c r="J26" s="334"/>
      <c r="K26" s="324"/>
      <c r="L26" s="173" t="s">
        <v>10</v>
      </c>
      <c r="M26" s="174">
        <v>6724540</v>
      </c>
      <c r="N26" s="175">
        <f>GETPIVOTDATA("Sum of EOSeekersServedCount_CountOfSEEKERID",'State PivotTables'!$A$32)</f>
        <v>368525</v>
      </c>
      <c r="O26" s="176">
        <f>GETPIVOTDATA("Sum of EOWIASEEKERCOUNT_CountOfSEEKER_ID",'State PivotTables'!$A$37)</f>
        <v>18764</v>
      </c>
      <c r="S26" s="17"/>
      <c r="T26" s="17"/>
    </row>
    <row r="27" spans="1:20" x14ac:dyDescent="0.3">
      <c r="A27" s="304"/>
      <c r="B27" s="170" t="s">
        <v>95</v>
      </c>
      <c r="C27" s="170" t="s">
        <v>100</v>
      </c>
      <c r="D27" s="170" t="s">
        <v>101</v>
      </c>
      <c r="E27" s="325"/>
      <c r="F27" s="139" t="s">
        <v>13</v>
      </c>
      <c r="G27" s="564">
        <f>M27/$G$26</f>
        <v>0.49813176812094212</v>
      </c>
      <c r="H27" s="335">
        <f>N27/$N$26</f>
        <v>0.56860728580150599</v>
      </c>
      <c r="I27" s="335">
        <f>O27/$O$26</f>
        <v>0.49046045619270945</v>
      </c>
      <c r="J27" s="334"/>
      <c r="K27" s="324"/>
      <c r="L27" s="173" t="s">
        <v>13</v>
      </c>
      <c r="M27" s="174">
        <v>3349707</v>
      </c>
      <c r="N27" s="175">
        <f>N26-N28</f>
        <v>209546</v>
      </c>
      <c r="O27" s="175">
        <f>O26-O28</f>
        <v>9203</v>
      </c>
      <c r="S27" s="16"/>
      <c r="T27" s="18"/>
    </row>
    <row r="28" spans="1:20" ht="30.75" customHeight="1" x14ac:dyDescent="0.3">
      <c r="A28" s="304"/>
      <c r="B28" s="154" t="s">
        <v>726</v>
      </c>
      <c r="C28" s="153">
        <f>C32/C26</f>
        <v>0.40633232510488826</v>
      </c>
      <c r="D28" s="153">
        <f>D32/D26</f>
        <v>0.40287427429332828</v>
      </c>
      <c r="E28" s="325"/>
      <c r="F28" s="139" t="s">
        <v>14</v>
      </c>
      <c r="G28" s="564">
        <f>M28/$G$26</f>
        <v>0.50186823187905794</v>
      </c>
      <c r="H28" s="335">
        <f>N28/$N$26</f>
        <v>0.43139271419849401</v>
      </c>
      <c r="I28" s="335">
        <f>O28/$O$26</f>
        <v>0.50953954380729061</v>
      </c>
      <c r="J28" s="334"/>
      <c r="K28" s="324"/>
      <c r="L28" s="226" t="s">
        <v>14</v>
      </c>
      <c r="M28" s="591">
        <v>3374833</v>
      </c>
      <c r="N28" s="175">
        <f>GETPIVOTDATA("Sum of EOGenderCount_CountOfSEEKERID",'State PivotTables'!$A$32)</f>
        <v>158979</v>
      </c>
      <c r="O28" s="175">
        <f>GETPIVOTDATA("Sum of EOWIAGENDERCOUNT_CountOfSEEKER_ID",'State PivotTables'!$A$37)</f>
        <v>9561</v>
      </c>
      <c r="S28" s="16"/>
    </row>
    <row r="29" spans="1:20" ht="20.25" customHeight="1" x14ac:dyDescent="0.3">
      <c r="A29" s="304"/>
      <c r="B29" s="159" t="s">
        <v>237</v>
      </c>
      <c r="C29" s="160">
        <f>C33/C24</f>
        <v>0.38299514777238641</v>
      </c>
      <c r="D29" s="160">
        <f>D33/D24</f>
        <v>0.38641815833179555</v>
      </c>
      <c r="E29" s="325"/>
      <c r="F29" s="139" t="s">
        <v>447</v>
      </c>
      <c r="G29" s="564">
        <f>M29/$G$26</f>
        <v>0.22725390881755481</v>
      </c>
      <c r="H29" s="335">
        <f>N29/$N$26</f>
        <v>0.31143341700020349</v>
      </c>
      <c r="I29" s="335">
        <f>O29/$O$26</f>
        <v>0.26737369430824987</v>
      </c>
      <c r="J29" s="334"/>
      <c r="K29" s="324"/>
      <c r="L29" s="227" t="s">
        <v>447</v>
      </c>
      <c r="M29" s="592">
        <v>1528178</v>
      </c>
      <c r="N29" s="175">
        <f>GETPIVOTDATA("Sum of EORaceCount_CountOfSEEKERID",'State PivotTables'!$A$32)</f>
        <v>114771</v>
      </c>
      <c r="O29" s="175">
        <f>GETPIVOTDATA("Sum of EOWIARACECOUNT_CountOfSEEKER_ID",'State PivotTables'!$A$37)</f>
        <v>5017</v>
      </c>
      <c r="S29" s="16"/>
      <c r="T29" s="16"/>
    </row>
    <row r="30" spans="1:20" x14ac:dyDescent="0.3">
      <c r="A30" s="304"/>
      <c r="B30" s="159" t="s">
        <v>425</v>
      </c>
      <c r="C30" s="373">
        <f>GETPIVOTDATA("Sum of AvgOfCurrentJOs",'State PivotTables'!$A$22)</f>
        <v>13.236831118378847</v>
      </c>
      <c r="D30" s="373">
        <f>GETPIVOTDATA("Sum of AvgOfLastYears",'State PivotTables'!$A$22)</f>
        <v>13.745607208570631</v>
      </c>
      <c r="E30" s="325"/>
      <c r="F30" s="139" t="s">
        <v>21</v>
      </c>
      <c r="G30" s="564">
        <f>M30/$G$26</f>
        <v>0.13163249828241039</v>
      </c>
      <c r="H30" s="335">
        <f>N30/$N$26</f>
        <v>0.18121701377111457</v>
      </c>
      <c r="I30" s="335">
        <f>O30/$O$26</f>
        <v>0.15162012364101471</v>
      </c>
      <c r="J30" s="336"/>
      <c r="K30" s="324"/>
      <c r="L30" s="226" t="s">
        <v>21</v>
      </c>
      <c r="M30" s="591">
        <v>885168</v>
      </c>
      <c r="N30" s="228">
        <f>GETPIVOTDATA("Sum of EOAgeCount_CountOfSEEKERID",'State PivotTables'!$A$32)</f>
        <v>66783</v>
      </c>
      <c r="O30" s="228">
        <f>GETPIVOTDATA("Sum of EOWIAAGECOUNT_CountOfSEEKER_ID",'State PivotTables'!$A$37)</f>
        <v>2845</v>
      </c>
      <c r="R30" s="2"/>
      <c r="S30" s="16"/>
      <c r="T30" s="16"/>
    </row>
    <row r="31" spans="1:20" x14ac:dyDescent="0.3">
      <c r="A31" s="304"/>
      <c r="B31" s="159" t="s">
        <v>328</v>
      </c>
      <c r="C31" s="373">
        <f>GETPIVOTDATA("Sum of CurrentSalary",'State PivotTables'!$A$22)</f>
        <v>10</v>
      </c>
      <c r="D31" s="373">
        <f>GETPIVOTDATA("Sum of Lastyearsalary",'State PivotTables'!$A$22)</f>
        <v>12</v>
      </c>
      <c r="E31" s="325"/>
      <c r="F31" s="139" t="s">
        <v>26</v>
      </c>
      <c r="G31" s="564">
        <f>M31/$G$26</f>
        <v>0.11999988103275466</v>
      </c>
      <c r="H31" s="335">
        <f>N31/$N$26</f>
        <v>4.2431314022115189E-2</v>
      </c>
      <c r="I31" s="335">
        <f>O31/$O$26</f>
        <v>7.1786399488382002E-2</v>
      </c>
      <c r="J31" s="336"/>
      <c r="K31" s="324"/>
      <c r="L31" s="173" t="s">
        <v>26</v>
      </c>
      <c r="M31" s="174">
        <v>806944</v>
      </c>
      <c r="N31" s="174">
        <f>GETPIVOTDATA("Sum of EODisabilityCount_CountOfSEEKERID",'State PivotTables'!$A$32)</f>
        <v>15637</v>
      </c>
      <c r="O31" s="174">
        <f>GETPIVOTDATA("Sum of EOWIADSISABILITYCOUNT_CountOfSEEKER_ID",'State PivotTables'!$A$37)</f>
        <v>1347</v>
      </c>
      <c r="S31" s="16"/>
      <c r="T31" s="16"/>
    </row>
    <row r="32" spans="1:20" x14ac:dyDescent="0.3">
      <c r="A32" s="304"/>
      <c r="B32" s="154" t="s">
        <v>725</v>
      </c>
      <c r="C32" s="158">
        <f>GETPIVOTDATA("Sum of 4JobOrdersMatching NAICS_CountOfJOB_ORDER_ID",'Area Pivot Tables'!$A$82)</f>
        <v>8329</v>
      </c>
      <c r="D32" s="158">
        <f>GETPIVOTDATA("Sum of 4JobOrdersMatching NAICS LastYear_CountOfJOB_ORDER_ID",'Area Pivot Tables'!$A$82)</f>
        <v>8466</v>
      </c>
      <c r="E32" s="325"/>
      <c r="F32" s="139" t="s">
        <v>310</v>
      </c>
      <c r="G32" s="565">
        <f>M34</f>
        <v>4445351</v>
      </c>
      <c r="H32" s="337">
        <f>N34</f>
        <v>319137</v>
      </c>
      <c r="I32" s="337">
        <f>O34</f>
        <v>13559</v>
      </c>
      <c r="J32" s="338"/>
      <c r="K32" s="324"/>
      <c r="L32" s="173" t="s">
        <v>389</v>
      </c>
      <c r="M32" s="174">
        <v>3987479</v>
      </c>
      <c r="N32" s="229">
        <f>GETPIVOTDATA("Sum of HSCOUNT_CountOfSEEKERID",'State PivotTables'!$A$42)</f>
        <v>277160</v>
      </c>
      <c r="O32" s="229">
        <f>GETPIVOTDATA("Sum of HSWIACOUNT_CountOfSEEKER_ID",'State PivotTables'!$A$37)</f>
        <v>12807</v>
      </c>
    </row>
    <row r="33" spans="1:15" x14ac:dyDescent="0.3">
      <c r="A33" s="304"/>
      <c r="B33" s="159" t="s">
        <v>56</v>
      </c>
      <c r="C33" s="158">
        <f>GETPIVOTDATA("Sum of current",'State PivotTables'!$A$22)</f>
        <v>3473</v>
      </c>
      <c r="D33" s="158">
        <f>GETPIVOTDATA("Sum of Lastyear",'State PivotTables'!$A$22)</f>
        <v>4188</v>
      </c>
      <c r="E33" s="325"/>
      <c r="F33" s="340" t="s">
        <v>388</v>
      </c>
      <c r="G33" s="566">
        <f>M32/M34</f>
        <v>0.89699980946386459</v>
      </c>
      <c r="H33" s="341">
        <f>N32/N34</f>
        <v>0.86846714733797714</v>
      </c>
      <c r="I33" s="341">
        <f>O32/O34</f>
        <v>0.94453868279371633</v>
      </c>
      <c r="J33" s="336"/>
      <c r="K33" s="324"/>
      <c r="L33" s="173" t="s">
        <v>24</v>
      </c>
      <c r="M33" s="174">
        <v>1378058</v>
      </c>
      <c r="N33" s="174">
        <f>GETPIVOTDATA("Sum of COLLEGECOUNT_CountOfSEEKERID",'State PivotTables'!$A$42)</f>
        <v>50241</v>
      </c>
      <c r="O33" s="174">
        <f>GETPIVOTDATA("Sum of COLLEGEWIACOUNT_CountOfSEEKER_ID",'State PivotTables'!$A$37)</f>
        <v>2301</v>
      </c>
    </row>
    <row r="34" spans="1:15" x14ac:dyDescent="0.3">
      <c r="A34" s="304"/>
      <c r="B34" s="159"/>
      <c r="C34" s="339"/>
      <c r="D34" s="372"/>
      <c r="E34" s="325"/>
      <c r="F34" s="340" t="s">
        <v>300</v>
      </c>
      <c r="G34" s="566">
        <f>M33/M34</f>
        <v>0.30999981778716684</v>
      </c>
      <c r="H34" s="341">
        <f>N33/N34</f>
        <v>0.15742768779552355</v>
      </c>
      <c r="I34" s="341">
        <f>O33/O34</f>
        <v>0.16970278044103548</v>
      </c>
      <c r="J34" s="336"/>
      <c r="K34" s="324"/>
      <c r="L34" s="173" t="s">
        <v>232</v>
      </c>
      <c r="M34" s="174">
        <v>4445351</v>
      </c>
      <c r="N34" s="162">
        <f>GETPIVOTDATA("Sum of OVER25COUNT_CountOfSEEKERID",'State PivotTables'!$A$42)</f>
        <v>319137</v>
      </c>
      <c r="O34" s="162">
        <f>GETPIVOTDATA("Sum of EDUCATIONWIACOUNT_CountOfSEEKER_ID",'State PivotTables'!$A$37)</f>
        <v>13559</v>
      </c>
    </row>
    <row r="35" spans="1:15" x14ac:dyDescent="0.3">
      <c r="A35" s="304"/>
      <c r="B35" s="635" t="s">
        <v>96</v>
      </c>
      <c r="C35" s="635"/>
      <c r="D35" s="635"/>
      <c r="E35" s="325"/>
      <c r="F35" s="606" t="s">
        <v>351</v>
      </c>
      <c r="G35" s="606"/>
      <c r="H35" s="606"/>
      <c r="I35" s="606"/>
      <c r="J35" s="606"/>
      <c r="K35" s="324"/>
    </row>
    <row r="36" spans="1:15" ht="72.75" customHeight="1" thickBot="1" x14ac:dyDescent="0.35">
      <c r="A36" s="304"/>
      <c r="B36" s="139" t="s">
        <v>42</v>
      </c>
      <c r="C36" s="169">
        <f>GETPIVOTDATA("Sum of CountOfSEEKERID",'State PivotTables'!$A$27)</f>
        <v>69831</v>
      </c>
      <c r="D36" s="151"/>
      <c r="E36" s="325"/>
      <c r="F36" s="340" t="s">
        <v>724</v>
      </c>
      <c r="G36" s="567">
        <v>25430</v>
      </c>
      <c r="H36" s="342" t="s">
        <v>238</v>
      </c>
      <c r="I36" s="343"/>
      <c r="J36" s="448"/>
      <c r="K36" s="324"/>
    </row>
    <row r="37" spans="1:15" x14ac:dyDescent="0.3">
      <c r="A37" s="304"/>
      <c r="B37" s="97" t="s">
        <v>44</v>
      </c>
      <c r="C37" s="177">
        <f>C40/C6</f>
        <v>2.1485108355545255</v>
      </c>
      <c r="D37" s="151"/>
      <c r="E37" s="325"/>
      <c r="F37" s="340" t="s">
        <v>468</v>
      </c>
      <c r="G37" s="568">
        <f>'Educational Attainment'!J44</f>
        <v>0.11159421083037291</v>
      </c>
      <c r="H37" s="344"/>
      <c r="I37" s="345"/>
      <c r="J37" s="346"/>
      <c r="K37" s="324"/>
    </row>
    <row r="38" spans="1:15" x14ac:dyDescent="0.3">
      <c r="A38" s="304"/>
      <c r="B38" s="97" t="s">
        <v>45</v>
      </c>
      <c r="C38" s="178">
        <f>C42/C41</f>
        <v>0.81182560850568453</v>
      </c>
      <c r="D38" s="151"/>
      <c r="E38" s="325"/>
      <c r="F38" s="347" t="s">
        <v>396</v>
      </c>
      <c r="G38" s="589" t="str">
        <f>'Area Pivot Tables'!G145</f>
        <v xml:space="preserve">Food Services and Drinking Places </v>
      </c>
      <c r="H38" s="348"/>
      <c r="I38" s="349"/>
      <c r="J38" s="350"/>
      <c r="K38" s="324"/>
    </row>
    <row r="39" spans="1:15" x14ac:dyDescent="0.3">
      <c r="A39" s="304"/>
      <c r="B39" s="142" t="s">
        <v>36</v>
      </c>
      <c r="C39" s="179">
        <f>GETPIVOTDATA("Sum of AvgOfDuration",'State PivotTables'!$A$27)</f>
        <v>15.667737494263424</v>
      </c>
      <c r="D39" s="180"/>
      <c r="E39" s="325"/>
      <c r="F39" s="347" t="s">
        <v>397</v>
      </c>
      <c r="G39" s="590" t="str">
        <f>'Area Pivot Tables'!M145</f>
        <v xml:space="preserve">Rail Transportation </v>
      </c>
      <c r="H39" s="348"/>
      <c r="I39" s="349"/>
      <c r="J39" s="350"/>
      <c r="K39" s="324"/>
    </row>
    <row r="40" spans="1:15" x14ac:dyDescent="0.3">
      <c r="A40" s="304"/>
      <c r="B40" s="97" t="s">
        <v>43</v>
      </c>
      <c r="C40" s="351">
        <f>GETPIVOTDATA("Sum of CountOfSERVICEDATE",'State PivotTables'!$A$27)</f>
        <v>222474</v>
      </c>
      <c r="D40" s="151"/>
      <c r="E40" s="325"/>
      <c r="F40" s="352"/>
      <c r="G40" s="353"/>
      <c r="H40" s="354"/>
      <c r="I40" s="355"/>
      <c r="J40" s="350"/>
      <c r="K40" s="324"/>
    </row>
    <row r="41" spans="1:15" ht="19.5" thickBot="1" x14ac:dyDescent="0.35">
      <c r="A41" s="304"/>
      <c r="B41" s="97" t="s">
        <v>60</v>
      </c>
      <c r="C41" s="375">
        <f>GETPIVOTDATA("Sum of OldWages",'State PivotTables'!$A$27)</f>
        <v>18588.98</v>
      </c>
      <c r="D41" s="151"/>
      <c r="E41" s="325"/>
      <c r="F41" s="284"/>
      <c r="G41" s="284"/>
      <c r="H41" s="287"/>
      <c r="I41" s="288"/>
      <c r="J41" s="289"/>
      <c r="K41" s="324"/>
      <c r="L41" s="3"/>
      <c r="M41" s="3"/>
    </row>
    <row r="42" spans="1:15" x14ac:dyDescent="0.3">
      <c r="A42" s="140"/>
      <c r="B42" s="97" t="s">
        <v>61</v>
      </c>
      <c r="C42" s="375">
        <f>GETPIVOTDATA("Sum of NewWages",'State PivotTables'!$A$27)</f>
        <v>15091.01</v>
      </c>
      <c r="D42" s="151"/>
      <c r="E42" s="140"/>
      <c r="F42" s="140"/>
      <c r="G42" s="140"/>
      <c r="H42" s="140"/>
      <c r="I42" s="140"/>
      <c r="J42" s="140"/>
      <c r="K42" s="140"/>
      <c r="L42" s="3"/>
      <c r="M42" s="3"/>
    </row>
    <row r="43" spans="1:15" x14ac:dyDescent="0.3">
      <c r="A43" s="3"/>
      <c r="B43" s="140"/>
      <c r="C43" s="140"/>
      <c r="D43" s="140"/>
      <c r="E43" s="85"/>
      <c r="F43" s="88"/>
      <c r="G43" s="144"/>
      <c r="H43" s="8"/>
      <c r="I43" s="39"/>
      <c r="J43" s="39"/>
      <c r="K43" s="3"/>
      <c r="L43" s="3"/>
      <c r="M43" s="3"/>
    </row>
    <row r="44" spans="1:15" x14ac:dyDescent="0.3">
      <c r="A44" s="3"/>
      <c r="B44" s="85"/>
      <c r="C44" s="87"/>
      <c r="D44" s="138"/>
      <c r="E44" s="85"/>
      <c r="F44" s="144"/>
      <c r="G44" s="88"/>
      <c r="H44" s="145"/>
      <c r="I44" s="43"/>
      <c r="J44" s="146"/>
      <c r="K44" s="3"/>
      <c r="L44" s="3"/>
      <c r="M44" s="3"/>
    </row>
    <row r="45" spans="1:15" x14ac:dyDescent="0.3">
      <c r="A45" s="3"/>
      <c r="B45" s="85"/>
      <c r="C45" s="84"/>
      <c r="D45" s="138"/>
      <c r="E45" s="85"/>
      <c r="F45" s="88"/>
      <c r="G45" s="88"/>
      <c r="H45" s="147"/>
      <c r="I45" s="65"/>
      <c r="J45" s="65"/>
      <c r="K45" s="3"/>
      <c r="L45" s="3"/>
      <c r="M45" s="3"/>
    </row>
    <row r="46" spans="1:15" x14ac:dyDescent="0.3">
      <c r="A46" s="3"/>
      <c r="B46" s="85"/>
      <c r="C46" s="84"/>
      <c r="D46" s="138"/>
      <c r="E46" s="85"/>
      <c r="F46" s="88"/>
      <c r="G46" s="125"/>
      <c r="H46" s="147"/>
      <c r="I46" s="65"/>
      <c r="J46" s="65"/>
      <c r="K46" s="3"/>
      <c r="L46" s="3"/>
      <c r="M46" s="3"/>
    </row>
    <row r="47" spans="1:15" x14ac:dyDescent="0.3">
      <c r="A47" s="3"/>
      <c r="B47" s="85"/>
      <c r="C47" s="84"/>
      <c r="D47" s="138"/>
      <c r="E47" s="85"/>
      <c r="F47" s="125"/>
      <c r="G47" s="88"/>
      <c r="H47" s="147"/>
      <c r="I47" s="65"/>
      <c r="J47" s="65"/>
      <c r="K47" s="3"/>
      <c r="L47" s="3"/>
      <c r="M47" s="3"/>
    </row>
    <row r="48" spans="1:15" x14ac:dyDescent="0.3">
      <c r="A48" s="3"/>
      <c r="B48" s="85"/>
      <c r="C48" s="84"/>
      <c r="D48" s="138"/>
      <c r="E48" s="85"/>
      <c r="F48" s="88"/>
      <c r="G48" s="125"/>
      <c r="H48" s="147"/>
      <c r="I48" s="65"/>
      <c r="J48" s="65"/>
      <c r="K48" s="3"/>
      <c r="L48" s="3"/>
      <c r="M48" s="3"/>
    </row>
    <row r="49" spans="1:13" x14ac:dyDescent="0.3">
      <c r="A49" s="3"/>
      <c r="B49" s="85"/>
      <c r="C49" s="84"/>
      <c r="D49" s="138"/>
      <c r="E49" s="85"/>
      <c r="F49" s="125"/>
      <c r="G49" s="126"/>
      <c r="H49" s="147"/>
      <c r="I49" s="141"/>
      <c r="J49" s="65"/>
      <c r="K49" s="41"/>
      <c r="L49" s="3"/>
      <c r="M49" s="3"/>
    </row>
    <row r="50" spans="1:13" x14ac:dyDescent="0.3">
      <c r="A50" s="3"/>
      <c r="B50" s="85"/>
      <c r="C50" s="84"/>
      <c r="D50" s="138"/>
      <c r="E50" s="85"/>
      <c r="F50" s="88"/>
      <c r="G50" s="125"/>
      <c r="H50" s="147"/>
      <c r="I50" s="148"/>
      <c r="J50" s="65"/>
      <c r="K50" s="3"/>
      <c r="L50" s="3"/>
      <c r="M50" s="3"/>
    </row>
    <row r="51" spans="1:13" x14ac:dyDescent="0.3">
      <c r="A51" s="3"/>
      <c r="B51" s="85"/>
      <c r="C51" s="86"/>
      <c r="D51" s="86"/>
      <c r="E51" s="85"/>
      <c r="F51" s="125"/>
      <c r="G51" s="88"/>
      <c r="H51" s="147"/>
      <c r="I51" s="141"/>
      <c r="J51" s="65"/>
      <c r="K51" s="3"/>
      <c r="L51" s="3"/>
      <c r="M51" s="3"/>
    </row>
    <row r="52" spans="1:13" x14ac:dyDescent="0.3">
      <c r="A52" s="3"/>
      <c r="B52" s="85"/>
      <c r="C52" s="86"/>
      <c r="D52" s="86"/>
      <c r="E52" s="85"/>
      <c r="F52" s="88"/>
      <c r="G52" s="83"/>
      <c r="H52" s="83"/>
      <c r="I52" s="41"/>
      <c r="J52" s="41"/>
      <c r="K52" s="3"/>
      <c r="L52" s="3"/>
      <c r="M52" s="3"/>
    </row>
    <row r="53" spans="1:13" x14ac:dyDescent="0.3">
      <c r="A53" s="3"/>
      <c r="B53" s="85"/>
      <c r="C53" s="86"/>
      <c r="D53" s="86"/>
      <c r="E53" s="85"/>
      <c r="F53" s="83"/>
      <c r="G53" s="83"/>
      <c r="H53" s="83"/>
      <c r="I53" s="41"/>
      <c r="J53" s="41"/>
      <c r="K53" s="3"/>
      <c r="L53" s="3"/>
      <c r="M53" s="3"/>
    </row>
    <row r="54" spans="1:13" x14ac:dyDescent="0.3">
      <c r="A54" s="3"/>
      <c r="B54" s="85"/>
      <c r="C54" s="86"/>
      <c r="D54" s="86"/>
      <c r="E54" s="6"/>
      <c r="F54" s="83"/>
      <c r="G54" s="83"/>
      <c r="H54" s="83"/>
      <c r="I54" s="41"/>
      <c r="J54" s="41"/>
      <c r="K54" s="3"/>
      <c r="L54" s="3"/>
      <c r="M54" s="3"/>
    </row>
    <row r="55" spans="1:13" x14ac:dyDescent="0.3">
      <c r="A55" s="3"/>
      <c r="B55" s="85"/>
      <c r="C55" s="86"/>
      <c r="D55" s="86"/>
      <c r="E55" s="6"/>
      <c r="F55" s="83"/>
      <c r="G55" s="83"/>
      <c r="H55" s="83"/>
      <c r="I55" s="41"/>
      <c r="J55" s="41"/>
      <c r="K55" s="3"/>
      <c r="L55" s="3"/>
      <c r="M55" s="3"/>
    </row>
    <row r="56" spans="1:13" x14ac:dyDescent="0.3">
      <c r="A56" s="3"/>
      <c r="B56" s="85"/>
      <c r="C56" s="86"/>
      <c r="D56" s="86"/>
      <c r="E56" s="6"/>
      <c r="F56" s="83"/>
      <c r="G56" s="83"/>
      <c r="H56" s="83"/>
      <c r="I56" s="41"/>
      <c r="J56" s="41"/>
      <c r="K56" s="3"/>
      <c r="L56" s="3"/>
      <c r="M56" s="3"/>
    </row>
    <row r="57" spans="1:13" x14ac:dyDescent="0.3">
      <c r="A57" s="3"/>
      <c r="B57" s="85"/>
      <c r="C57" s="86"/>
      <c r="D57" s="86"/>
      <c r="E57" s="6"/>
      <c r="F57" s="83"/>
      <c r="G57" s="83"/>
      <c r="H57" s="83"/>
      <c r="I57" s="41"/>
      <c r="J57" s="41"/>
      <c r="K57" s="3"/>
      <c r="L57" s="3"/>
      <c r="M57" s="3"/>
    </row>
    <row r="58" spans="1:13" x14ac:dyDescent="0.3">
      <c r="A58" s="3"/>
      <c r="B58" s="85"/>
      <c r="C58" s="86"/>
      <c r="D58" s="86"/>
      <c r="E58" s="6"/>
      <c r="F58" s="83"/>
      <c r="G58" s="83"/>
      <c r="H58" s="83"/>
      <c r="I58" s="41"/>
      <c r="J58" s="41"/>
      <c r="K58" s="3"/>
      <c r="L58" s="3"/>
      <c r="M58" s="3"/>
    </row>
    <row r="59" spans="1:13" x14ac:dyDescent="0.3">
      <c r="A59" s="3"/>
      <c r="B59" s="85"/>
      <c r="C59" s="86"/>
      <c r="D59" s="86"/>
      <c r="E59" s="6"/>
      <c r="F59" s="83"/>
      <c r="G59" s="83"/>
      <c r="H59" s="83"/>
      <c r="I59" s="41"/>
      <c r="J59" s="41"/>
      <c r="K59" s="3"/>
      <c r="L59" s="3"/>
      <c r="M59" s="3"/>
    </row>
    <row r="60" spans="1:13" x14ac:dyDescent="0.3">
      <c r="A60" s="3"/>
      <c r="B60" s="6"/>
      <c r="C60" s="149"/>
      <c r="D60" s="149"/>
      <c r="E60" s="6"/>
      <c r="F60" s="83"/>
      <c r="G60" s="83"/>
      <c r="H60" s="83"/>
      <c r="I60" s="41"/>
      <c r="J60" s="41"/>
      <c r="K60" s="3"/>
      <c r="L60" s="3"/>
      <c r="M60" s="3"/>
    </row>
    <row r="61" spans="1:13" x14ac:dyDescent="0.3">
      <c r="A61" s="3"/>
      <c r="B61" s="6"/>
      <c r="C61" s="149"/>
      <c r="D61" s="149"/>
      <c r="E61" s="6"/>
      <c r="F61" s="83"/>
      <c r="G61" s="83"/>
      <c r="H61" s="83"/>
      <c r="I61" s="41"/>
      <c r="J61" s="41"/>
      <c r="K61" s="3"/>
      <c r="L61" s="3"/>
      <c r="M61" s="3"/>
    </row>
    <row r="62" spans="1:13" x14ac:dyDescent="0.3">
      <c r="A62" s="3"/>
      <c r="B62" s="6"/>
      <c r="C62" s="149"/>
      <c r="D62" s="149"/>
      <c r="E62" s="6"/>
      <c r="F62" s="83"/>
      <c r="G62" s="83"/>
      <c r="H62" s="83"/>
      <c r="I62" s="41"/>
      <c r="J62" s="41"/>
      <c r="K62" s="3"/>
      <c r="L62" s="3"/>
      <c r="M62" s="3"/>
    </row>
    <row r="63" spans="1:13" x14ac:dyDescent="0.3">
      <c r="A63" s="3"/>
      <c r="B63" s="6"/>
      <c r="C63" s="149"/>
      <c r="D63" s="149"/>
      <c r="E63" s="6"/>
      <c r="F63" s="83"/>
      <c r="G63" s="83"/>
      <c r="H63" s="83"/>
      <c r="I63" s="41"/>
      <c r="J63" s="41"/>
      <c r="K63" s="3"/>
      <c r="L63" s="3"/>
      <c r="M63" s="3"/>
    </row>
    <row r="64" spans="1:13" x14ac:dyDescent="0.3">
      <c r="A64" s="3"/>
      <c r="B64" s="6"/>
      <c r="C64" s="149"/>
      <c r="D64" s="149"/>
      <c r="E64" s="6"/>
      <c r="F64" s="83"/>
      <c r="G64" s="83"/>
      <c r="H64" s="83"/>
      <c r="I64" s="41"/>
      <c r="J64" s="41"/>
      <c r="K64" s="3"/>
      <c r="L64" s="3"/>
      <c r="M64" s="3"/>
    </row>
    <row r="65" spans="1:13" x14ac:dyDescent="0.3">
      <c r="A65" s="3"/>
      <c r="B65" s="6"/>
      <c r="C65" s="149"/>
      <c r="D65" s="149"/>
      <c r="E65" s="6"/>
      <c r="F65" s="83"/>
      <c r="G65" s="83"/>
      <c r="H65" s="83"/>
      <c r="I65" s="41"/>
      <c r="J65" s="41"/>
      <c r="K65" s="3"/>
      <c r="L65" s="3"/>
      <c r="M65" s="3"/>
    </row>
    <row r="66" spans="1:13" x14ac:dyDescent="0.3">
      <c r="A66" s="3"/>
      <c r="B66" s="6"/>
      <c r="C66" s="149"/>
      <c r="D66" s="149"/>
      <c r="E66" s="6"/>
      <c r="F66" s="83"/>
      <c r="G66" s="83"/>
      <c r="H66" s="83"/>
      <c r="I66" s="41"/>
      <c r="J66" s="41"/>
      <c r="K66" s="3"/>
      <c r="L66" s="3"/>
      <c r="M66" s="3"/>
    </row>
    <row r="67" spans="1:13" x14ac:dyDescent="0.3">
      <c r="A67" s="3"/>
      <c r="B67" s="6"/>
      <c r="C67" s="149"/>
      <c r="D67" s="149"/>
      <c r="E67" s="6"/>
      <c r="F67" s="83"/>
      <c r="G67" s="83"/>
      <c r="H67" s="83"/>
      <c r="I67" s="41"/>
      <c r="J67" s="41"/>
      <c r="K67" s="3"/>
      <c r="L67" s="3"/>
      <c r="M67" s="3"/>
    </row>
    <row r="68" spans="1:13" x14ac:dyDescent="0.3">
      <c r="A68" s="3"/>
      <c r="B68" s="6"/>
      <c r="C68" s="149"/>
      <c r="D68" s="149"/>
      <c r="E68" s="6"/>
      <c r="F68" s="83"/>
      <c r="G68" s="83"/>
      <c r="H68" s="83"/>
      <c r="I68" s="41"/>
      <c r="J68" s="41"/>
      <c r="K68" s="3"/>
      <c r="L68" s="3"/>
      <c r="M68" s="3"/>
    </row>
    <row r="69" spans="1:13" x14ac:dyDescent="0.3">
      <c r="A69" s="3"/>
      <c r="B69" s="6"/>
      <c r="C69" s="149"/>
      <c r="D69" s="149"/>
      <c r="E69" s="6"/>
      <c r="F69" s="83"/>
      <c r="G69" s="83"/>
      <c r="H69" s="83"/>
      <c r="I69" s="41"/>
      <c r="J69" s="41"/>
      <c r="K69" s="3"/>
      <c r="L69" s="3"/>
      <c r="M69" s="3"/>
    </row>
    <row r="70" spans="1:13" x14ac:dyDescent="0.3">
      <c r="A70" s="3"/>
      <c r="B70" s="6"/>
      <c r="C70" s="149"/>
      <c r="D70" s="149"/>
      <c r="E70" s="6"/>
      <c r="F70" s="83"/>
      <c r="G70" s="83"/>
      <c r="H70" s="83"/>
      <c r="I70" s="41"/>
      <c r="J70" s="41"/>
      <c r="K70" s="3"/>
      <c r="L70" s="3"/>
      <c r="M70" s="3"/>
    </row>
    <row r="71" spans="1:13" x14ac:dyDescent="0.3">
      <c r="A71" s="3"/>
      <c r="B71" s="6"/>
      <c r="C71" s="149"/>
      <c r="D71" s="149"/>
      <c r="E71" s="6"/>
      <c r="F71" s="83"/>
      <c r="G71" s="83"/>
      <c r="H71" s="83"/>
      <c r="I71" s="41"/>
      <c r="J71" s="41"/>
      <c r="K71" s="3"/>
      <c r="L71" s="3"/>
      <c r="M71" s="3"/>
    </row>
    <row r="72" spans="1:13" x14ac:dyDescent="0.3">
      <c r="A72" s="3"/>
      <c r="B72" s="6"/>
      <c r="C72" s="149"/>
      <c r="D72" s="149"/>
      <c r="E72" s="6"/>
      <c r="F72" s="83"/>
      <c r="K72" s="3"/>
      <c r="L72" s="3"/>
      <c r="M72" s="3"/>
    </row>
    <row r="73" spans="1:13" x14ac:dyDescent="0.3">
      <c r="B73" s="6"/>
      <c r="C73" s="149"/>
      <c r="D73" s="149"/>
      <c r="E73" s="6"/>
    </row>
    <row r="74" spans="1:13" x14ac:dyDescent="0.3">
      <c r="B74" s="6"/>
      <c r="C74" s="149"/>
      <c r="D74" s="149"/>
    </row>
    <row r="75" spans="1:13" x14ac:dyDescent="0.3">
      <c r="B75" s="6"/>
      <c r="C75" s="149"/>
      <c r="D75" s="149"/>
    </row>
  </sheetData>
  <mergeCells count="5">
    <mergeCell ref="F35:J35"/>
    <mergeCell ref="L24:O24"/>
    <mergeCell ref="B2:D2"/>
    <mergeCell ref="F2:K2"/>
    <mergeCell ref="B35:D35"/>
  </mergeCells>
  <dataValidations count="1">
    <dataValidation type="list" allowBlank="1" showInputMessage="1" showErrorMessage="1" sqref="F1">
      <formula1>qUARTERS</formula1>
    </dataValidation>
  </dataValidations>
  <pageMargins left="0.25" right="0.25" top="0.43" bottom="0.45" header="0.3" footer="0.3"/>
  <pageSetup scale="5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1"/>
  <sheetViews>
    <sheetView zoomScale="110" zoomScaleNormal="110" workbookViewId="0">
      <selection activeCell="M7" sqref="M7"/>
    </sheetView>
  </sheetViews>
  <sheetFormatPr defaultRowHeight="18.75" x14ac:dyDescent="0.3"/>
  <cols>
    <col min="1" max="1" width="19" customWidth="1"/>
    <col min="2" max="2" width="3.59765625" style="48" customWidth="1"/>
    <col min="3" max="4" width="8.59765625" customWidth="1"/>
    <col min="5" max="5" width="17.5" customWidth="1"/>
    <col min="6" max="6" width="5.69921875" style="48" customWidth="1"/>
    <col min="7" max="7" width="6.296875" customWidth="1"/>
    <col min="8" max="8" width="10.3984375" customWidth="1"/>
    <col min="9" max="9" width="7.296875" customWidth="1"/>
    <col min="10" max="10" width="5.296875" style="48" customWidth="1"/>
    <col min="11" max="11" width="19.59765625" customWidth="1"/>
    <col min="12" max="12" width="6" style="48" customWidth="1"/>
  </cols>
  <sheetData>
    <row r="1" spans="1:14" ht="36" customHeight="1" x14ac:dyDescent="0.4">
      <c r="A1" s="57"/>
      <c r="B1" s="57"/>
      <c r="C1" s="614" t="s">
        <v>155</v>
      </c>
      <c r="D1" s="614"/>
      <c r="E1" s="615" t="s">
        <v>185</v>
      </c>
      <c r="F1" s="615"/>
      <c r="G1" s="615"/>
      <c r="H1" s="615"/>
      <c r="I1" s="615"/>
      <c r="J1" s="51"/>
      <c r="K1" s="57" t="str">
        <f>'Area Data'!G1</f>
        <v>OCT-DEC 2011</v>
      </c>
      <c r="L1" s="51"/>
      <c r="M1" s="14"/>
    </row>
    <row r="2" spans="1:14" ht="32.25" customHeight="1" x14ac:dyDescent="0.3">
      <c r="A2" s="27"/>
      <c r="B2" s="44"/>
      <c r="C2" s="27"/>
      <c r="D2" s="27"/>
      <c r="E2" s="27"/>
      <c r="F2" s="44"/>
      <c r="G2" s="27"/>
      <c r="H2" s="27"/>
      <c r="I2" s="27"/>
      <c r="J2" s="44"/>
      <c r="K2" s="27"/>
      <c r="L2" s="47"/>
      <c r="M2" s="14"/>
    </row>
    <row r="3" spans="1:14" ht="18.75" customHeight="1" x14ac:dyDescent="0.3">
      <c r="A3" s="27"/>
      <c r="B3" s="44"/>
      <c r="C3" s="27"/>
      <c r="D3" s="27"/>
      <c r="E3" s="27"/>
      <c r="F3" s="44"/>
      <c r="G3" s="27"/>
      <c r="H3" s="27"/>
      <c r="I3" s="27"/>
      <c r="J3" s="44"/>
      <c r="K3" s="27"/>
      <c r="L3" s="47"/>
      <c r="M3" s="14"/>
    </row>
    <row r="4" spans="1:14" ht="18.75" customHeight="1" x14ac:dyDescent="0.3">
      <c r="A4" s="27"/>
      <c r="B4" s="44"/>
      <c r="C4" s="27"/>
      <c r="D4" s="27"/>
      <c r="E4" s="27"/>
      <c r="F4" s="44"/>
      <c r="G4" s="27"/>
      <c r="H4" s="27"/>
      <c r="I4" s="27"/>
      <c r="J4" s="44"/>
      <c r="K4" s="27"/>
      <c r="L4" s="47"/>
      <c r="M4" s="14"/>
    </row>
    <row r="5" spans="1:14" ht="18.75" customHeight="1" x14ac:dyDescent="0.3">
      <c r="A5" s="27"/>
      <c r="B5" s="44"/>
      <c r="C5" s="27"/>
      <c r="D5" s="27"/>
      <c r="E5" s="27"/>
      <c r="F5" s="44"/>
      <c r="G5" s="27"/>
      <c r="H5" s="27"/>
      <c r="I5" s="27"/>
      <c r="J5" s="44"/>
      <c r="K5" s="27"/>
      <c r="L5" s="47"/>
      <c r="M5" s="14"/>
    </row>
    <row r="6" spans="1:14" ht="18.75" customHeight="1" x14ac:dyDescent="0.3">
      <c r="A6" s="27"/>
      <c r="B6" s="44"/>
      <c r="C6" s="27"/>
      <c r="D6" s="27"/>
      <c r="E6" s="27"/>
      <c r="F6" s="44"/>
      <c r="G6" s="27"/>
      <c r="H6" s="27"/>
      <c r="I6" s="27"/>
      <c r="J6" s="44"/>
      <c r="K6" s="27"/>
      <c r="L6" s="47"/>
      <c r="M6" s="14"/>
    </row>
    <row r="7" spans="1:14" ht="45" customHeight="1" x14ac:dyDescent="0.3">
      <c r="A7" s="27"/>
      <c r="B7" s="44"/>
      <c r="C7" s="27"/>
      <c r="D7" s="27"/>
      <c r="E7" s="27"/>
      <c r="F7" s="44"/>
      <c r="G7" s="27"/>
      <c r="H7" s="28"/>
      <c r="I7" s="20"/>
      <c r="J7" s="54"/>
      <c r="K7" s="14"/>
      <c r="L7" s="47"/>
      <c r="M7" s="14"/>
    </row>
    <row r="8" spans="1:14" ht="19.5" customHeight="1" x14ac:dyDescent="0.3">
      <c r="A8" s="13"/>
      <c r="B8" s="35"/>
      <c r="C8" s="13"/>
      <c r="D8" s="13"/>
      <c r="E8" s="13"/>
      <c r="F8" s="35"/>
      <c r="G8" s="13"/>
      <c r="H8" s="13"/>
      <c r="I8" s="13"/>
      <c r="J8" s="35"/>
      <c r="K8" s="13"/>
      <c r="L8" s="47"/>
      <c r="M8" s="14"/>
    </row>
    <row r="9" spans="1:14" x14ac:dyDescent="0.3">
      <c r="A9" s="13"/>
      <c r="B9" s="35"/>
      <c r="C9" s="13"/>
      <c r="D9" s="13"/>
      <c r="E9" s="13"/>
      <c r="F9" s="35"/>
      <c r="G9" s="13"/>
      <c r="H9" s="13"/>
      <c r="I9" s="13"/>
      <c r="J9" s="35"/>
      <c r="K9" s="13"/>
      <c r="L9" s="47"/>
      <c r="M9" s="14"/>
    </row>
    <row r="10" spans="1:14" x14ac:dyDescent="0.3">
      <c r="A10" s="13"/>
      <c r="B10" s="35"/>
      <c r="C10" s="13"/>
      <c r="D10" s="13"/>
      <c r="E10" s="13"/>
      <c r="F10" s="35"/>
      <c r="G10" s="13"/>
      <c r="H10" s="13"/>
      <c r="I10" s="13"/>
      <c r="J10" s="35"/>
      <c r="K10" s="13"/>
      <c r="L10" s="47"/>
      <c r="M10" s="14"/>
    </row>
    <row r="11" spans="1:14" x14ac:dyDescent="0.3">
      <c r="A11" s="13"/>
      <c r="B11" s="35"/>
      <c r="C11" s="13"/>
      <c r="D11" s="13"/>
      <c r="E11" s="13"/>
      <c r="F11" s="35"/>
      <c r="G11" s="13"/>
      <c r="H11" s="13"/>
      <c r="I11" s="13"/>
      <c r="J11" s="35"/>
      <c r="K11" s="13"/>
      <c r="L11" s="47"/>
      <c r="M11" s="14"/>
    </row>
    <row r="12" spans="1:14" ht="42" customHeight="1" x14ac:dyDescent="0.35">
      <c r="A12" s="29"/>
      <c r="B12" s="45"/>
      <c r="C12" s="38"/>
      <c r="D12" s="163"/>
      <c r="E12" s="616"/>
      <c r="F12" s="49"/>
      <c r="G12" s="30"/>
      <c r="H12" s="31"/>
      <c r="I12" s="30"/>
      <c r="J12" s="55"/>
      <c r="K12" s="32"/>
      <c r="L12" s="23"/>
      <c r="M12" s="14"/>
    </row>
    <row r="13" spans="1:14" ht="18.75" customHeight="1" x14ac:dyDescent="0.35">
      <c r="A13" s="14"/>
      <c r="B13" s="46"/>
      <c r="C13" s="33"/>
      <c r="D13" s="33"/>
      <c r="E13" s="616"/>
      <c r="F13" s="47"/>
      <c r="G13" s="14"/>
      <c r="H13" s="14"/>
      <c r="I13" s="31"/>
      <c r="J13" s="34"/>
      <c r="K13" s="14"/>
      <c r="L13" s="52"/>
      <c r="M13" s="27"/>
      <c r="N13" s="22"/>
    </row>
    <row r="14" spans="1:14" ht="25.5" customHeight="1" x14ac:dyDescent="0.35">
      <c r="A14" s="14"/>
      <c r="B14" s="46"/>
      <c r="C14" s="33"/>
      <c r="D14" s="33"/>
      <c r="E14" s="616"/>
      <c r="F14" s="47"/>
      <c r="G14" s="14"/>
      <c r="H14" s="15"/>
      <c r="I14" s="31"/>
      <c r="J14" s="35"/>
      <c r="K14" s="14"/>
      <c r="L14" s="47"/>
      <c r="M14" s="27"/>
      <c r="N14" s="22"/>
    </row>
    <row r="15" spans="1:14" s="21" customFormat="1" ht="25.5" customHeight="1" x14ac:dyDescent="0.5">
      <c r="A15" s="14"/>
      <c r="B15" s="46"/>
      <c r="C15" s="33"/>
      <c r="D15" s="33"/>
      <c r="E15" s="616"/>
      <c r="F15" s="50"/>
      <c r="G15" s="15"/>
      <c r="H15" s="36"/>
      <c r="I15" s="31"/>
      <c r="J15" s="37"/>
      <c r="K15" s="25"/>
      <c r="L15" s="53"/>
      <c r="M15" s="27"/>
      <c r="N15" s="22"/>
    </row>
    <row r="16" spans="1:14" s="21" customFormat="1" ht="32.25" customHeight="1" x14ac:dyDescent="0.5">
      <c r="A16" s="14"/>
      <c r="B16" s="46"/>
      <c r="C16" s="33"/>
      <c r="D16" s="33"/>
      <c r="E16" s="616"/>
      <c r="F16" s="50"/>
      <c r="G16" s="15"/>
      <c r="H16" s="36"/>
      <c r="I16" s="31"/>
      <c r="J16" s="34"/>
      <c r="K16" s="26"/>
      <c r="L16" s="53"/>
      <c r="M16" s="27"/>
      <c r="N16" s="22"/>
    </row>
    <row r="17" spans="1:14" s="21" customFormat="1" ht="36" customHeight="1" x14ac:dyDescent="0.5">
      <c r="A17" s="14"/>
      <c r="B17" s="46"/>
      <c r="C17" s="33"/>
      <c r="D17" s="33"/>
      <c r="E17" s="616"/>
      <c r="F17" s="24"/>
      <c r="G17" s="24"/>
      <c r="H17" s="36"/>
      <c r="I17" s="31"/>
      <c r="J17" s="34"/>
      <c r="K17" s="26"/>
      <c r="L17" s="53"/>
      <c r="M17" s="27"/>
      <c r="N17" s="22"/>
    </row>
    <row r="18" spans="1:14" ht="28.5" customHeight="1" x14ac:dyDescent="0.35">
      <c r="A18" s="14"/>
      <c r="B18" s="46"/>
      <c r="C18" s="33"/>
      <c r="D18" s="33"/>
      <c r="E18" s="616"/>
      <c r="F18" s="47"/>
      <c r="G18" s="14"/>
      <c r="H18" s="14"/>
      <c r="I18" s="31"/>
      <c r="J18" s="37"/>
      <c r="K18" s="14"/>
      <c r="L18" s="47"/>
      <c r="M18" s="27"/>
      <c r="N18" s="22"/>
    </row>
    <row r="19" spans="1:14" ht="45" customHeight="1" x14ac:dyDescent="0.35">
      <c r="A19" s="14"/>
      <c r="B19" s="47"/>
      <c r="C19" s="14"/>
      <c r="D19" s="14"/>
      <c r="E19" s="616"/>
      <c r="F19" s="47"/>
      <c r="G19" s="14"/>
      <c r="H19" s="14"/>
      <c r="I19" s="31"/>
      <c r="J19" s="37"/>
      <c r="K19" s="14"/>
      <c r="L19" s="44"/>
      <c r="M19" s="27"/>
      <c r="N19" s="22"/>
    </row>
    <row r="20" spans="1:14" s="77" customFormat="1" ht="22.5" customHeight="1" x14ac:dyDescent="0.25">
      <c r="A20" s="617" t="s">
        <v>83</v>
      </c>
      <c r="B20" s="617"/>
      <c r="C20" s="78">
        <f>'State Data'!C36</f>
        <v>69831</v>
      </c>
      <c r="D20" s="618" t="s">
        <v>23</v>
      </c>
      <c r="E20" s="618"/>
      <c r="F20" s="80">
        <f>'State Data'!C37</f>
        <v>2.1485108355545255</v>
      </c>
      <c r="G20" s="619" t="s">
        <v>27</v>
      </c>
      <c r="H20" s="619"/>
      <c r="I20" s="181">
        <f>'State Data'!C38</f>
        <v>0.81182560850568453</v>
      </c>
      <c r="J20" s="610" t="s">
        <v>130</v>
      </c>
      <c r="K20" s="610"/>
      <c r="L20" s="79">
        <f>'State Data'!C39</f>
        <v>15.667737494263424</v>
      </c>
      <c r="M20" s="75"/>
      <c r="N20" s="76"/>
    </row>
    <row r="21" spans="1:14" ht="32.25" customHeight="1" x14ac:dyDescent="0.35">
      <c r="A21" s="611"/>
      <c r="B21" s="611"/>
      <c r="C21" s="611"/>
      <c r="D21" s="611"/>
      <c r="E21" s="611"/>
      <c r="F21" s="611"/>
      <c r="G21" s="611"/>
      <c r="H21" s="611"/>
      <c r="I21" s="611"/>
      <c r="J21" s="611"/>
      <c r="K21" s="611"/>
      <c r="L21" s="611"/>
      <c r="M21" s="14"/>
    </row>
    <row r="22" spans="1:14" ht="12.75" customHeight="1" x14ac:dyDescent="0.3">
      <c r="A22" s="14"/>
      <c r="B22" s="47"/>
      <c r="C22" s="14"/>
      <c r="D22" s="14"/>
      <c r="E22" s="14"/>
      <c r="F22" s="47"/>
      <c r="G22" s="14"/>
      <c r="H22" s="14"/>
      <c r="I22" s="14"/>
      <c r="J22" s="44"/>
      <c r="K22" s="27"/>
      <c r="L22" s="47"/>
      <c r="M22" s="14"/>
    </row>
    <row r="23" spans="1:14" ht="15.75" customHeight="1" x14ac:dyDescent="0.3">
      <c r="J23" s="56"/>
      <c r="K23" s="19"/>
    </row>
    <row r="24" spans="1:14" ht="18.75" customHeight="1" x14ac:dyDescent="0.3">
      <c r="J24" s="612"/>
      <c r="K24" s="613"/>
    </row>
    <row r="25" spans="1:14" ht="18.75" customHeight="1" x14ac:dyDescent="0.3">
      <c r="J25" s="612"/>
      <c r="K25" s="613"/>
    </row>
    <row r="26" spans="1:14" ht="18.75" customHeight="1" x14ac:dyDescent="0.3">
      <c r="J26" s="56"/>
      <c r="K26" s="19"/>
    </row>
    <row r="29" spans="1:14" x14ac:dyDescent="0.3">
      <c r="K29" s="19"/>
    </row>
    <row r="30" spans="1:14" ht="18.75" customHeight="1" x14ac:dyDescent="0.3"/>
    <row r="31" spans="1:14" ht="18.75" customHeight="1" x14ac:dyDescent="0.3"/>
  </sheetData>
  <mergeCells count="10">
    <mergeCell ref="C1:D1"/>
    <mergeCell ref="E1:I1"/>
    <mergeCell ref="E12:E19"/>
    <mergeCell ref="K24:K25"/>
    <mergeCell ref="J24:J25"/>
    <mergeCell ref="A21:L21"/>
    <mergeCell ref="A20:B20"/>
    <mergeCell ref="D20:E20"/>
    <mergeCell ref="G20:H20"/>
    <mergeCell ref="J20:K20"/>
  </mergeCells>
  <pageMargins left="0.18" right="0.18" top="0.43" bottom="0.26" header="0.23" footer="0.17"/>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X61"/>
  <sheetViews>
    <sheetView zoomScale="70" zoomScaleNormal="70" workbookViewId="0">
      <selection activeCell="P23" sqref="P23"/>
    </sheetView>
  </sheetViews>
  <sheetFormatPr defaultRowHeight="18.75" x14ac:dyDescent="0.3"/>
  <cols>
    <col min="1" max="1" width="11.09765625" customWidth="1"/>
    <col min="2" max="2" width="12.19921875" customWidth="1"/>
    <col min="4" max="4" width="3.69921875" customWidth="1"/>
    <col min="5" max="5" width="21.09765625" customWidth="1"/>
    <col min="6" max="6" width="17.5" customWidth="1"/>
    <col min="7" max="7" width="10.296875" customWidth="1"/>
    <col min="8" max="8" width="15" customWidth="1"/>
    <col min="9" max="9" width="11.8984375" customWidth="1"/>
    <col min="10" max="10" width="10.69921875" customWidth="1"/>
    <col min="11" max="11" width="8.796875" customWidth="1"/>
    <col min="12" max="12" width="17.19921875" customWidth="1"/>
    <col min="13" max="13" width="9" customWidth="1"/>
    <col min="14" max="14" width="10.296875" customWidth="1"/>
    <col min="19" max="19" width="12.3984375" customWidth="1"/>
  </cols>
  <sheetData>
    <row r="1" spans="1:23" ht="39.75" customHeight="1" x14ac:dyDescent="0.4">
      <c r="A1" s="58"/>
      <c r="B1" s="58"/>
      <c r="C1" s="58"/>
      <c r="D1" s="209" t="s">
        <v>155</v>
      </c>
      <c r="E1" s="190" t="s">
        <v>184</v>
      </c>
      <c r="F1" s="58"/>
      <c r="G1" s="58"/>
      <c r="H1" s="58"/>
      <c r="I1" s="58"/>
      <c r="J1" s="58"/>
      <c r="K1" s="57" t="str">
        <f>'Area Data'!G1</f>
        <v>OCT-DEC 2011</v>
      </c>
      <c r="L1" s="57"/>
    </row>
    <row r="2" spans="1:23" x14ac:dyDescent="0.3">
      <c r="D2" s="14"/>
      <c r="E2" s="3"/>
      <c r="F2" s="3"/>
      <c r="G2" s="3"/>
      <c r="H2" s="3"/>
      <c r="I2" s="14"/>
      <c r="J2" s="3"/>
      <c r="K2" s="3"/>
      <c r="L2" s="3"/>
      <c r="M2" s="3"/>
      <c r="N2" s="14"/>
      <c r="O2" s="14"/>
    </row>
    <row r="3" spans="1:23" x14ac:dyDescent="0.3">
      <c r="D3" s="14"/>
      <c r="E3" s="3"/>
      <c r="J3" s="3"/>
      <c r="K3" s="3"/>
      <c r="L3" s="3"/>
      <c r="M3" s="3"/>
      <c r="N3" s="14"/>
      <c r="O3" s="14"/>
    </row>
    <row r="4" spans="1:23" x14ac:dyDescent="0.3">
      <c r="D4" s="14"/>
      <c r="E4" s="3"/>
      <c r="K4" s="3"/>
      <c r="L4" s="3"/>
      <c r="M4" s="3"/>
      <c r="N4" s="14"/>
      <c r="O4" s="14"/>
    </row>
    <row r="5" spans="1:23" x14ac:dyDescent="0.3">
      <c r="D5" s="14"/>
      <c r="E5" s="3"/>
      <c r="K5" s="3"/>
      <c r="L5" s="3"/>
      <c r="M5" s="3"/>
      <c r="N5" s="14"/>
      <c r="O5" s="14"/>
    </row>
    <row r="6" spans="1:23" x14ac:dyDescent="0.3">
      <c r="D6" s="14"/>
      <c r="E6" s="3"/>
      <c r="K6" s="3"/>
      <c r="L6" s="3"/>
      <c r="M6" s="3"/>
      <c r="N6" s="14"/>
      <c r="O6" s="14"/>
    </row>
    <row r="7" spans="1:23" x14ac:dyDescent="0.3">
      <c r="D7" s="14"/>
      <c r="E7" s="3"/>
      <c r="F7" s="3"/>
      <c r="G7" s="3"/>
      <c r="K7" s="3"/>
      <c r="L7" s="3"/>
      <c r="M7" s="3"/>
      <c r="N7" s="14"/>
      <c r="O7" s="14"/>
    </row>
    <row r="8" spans="1:23" x14ac:dyDescent="0.3">
      <c r="D8" s="14"/>
      <c r="E8" s="3"/>
      <c r="F8" s="3"/>
      <c r="G8" s="3"/>
      <c r="H8" s="3"/>
      <c r="I8" s="14"/>
      <c r="J8" s="3"/>
      <c r="K8" s="3"/>
      <c r="L8" s="3"/>
      <c r="M8" s="3"/>
      <c r="N8" s="14"/>
      <c r="O8" s="14"/>
    </row>
    <row r="9" spans="1:23" ht="40.5" customHeight="1" x14ac:dyDescent="0.3">
      <c r="D9" s="14"/>
      <c r="E9" s="3"/>
      <c r="F9" s="3"/>
      <c r="G9" s="3"/>
      <c r="H9" s="3"/>
      <c r="I9" s="14"/>
      <c r="J9" s="3"/>
      <c r="K9" s="3"/>
      <c r="L9" s="3"/>
      <c r="M9" s="3"/>
      <c r="N9" s="14"/>
    </row>
    <row r="10" spans="1:23" ht="48" customHeight="1" x14ac:dyDescent="0.3">
      <c r="D10" s="14"/>
      <c r="E10" s="3"/>
      <c r="F10" s="3"/>
      <c r="G10" s="3"/>
      <c r="H10" s="3"/>
      <c r="I10" s="14"/>
      <c r="J10" s="3"/>
      <c r="K10" s="3"/>
      <c r="L10" s="3"/>
      <c r="M10" s="3"/>
      <c r="N10" s="3"/>
      <c r="V10" s="5"/>
    </row>
    <row r="11" spans="1:23" s="2" customFormat="1" ht="40.5" customHeight="1" x14ac:dyDescent="0.3">
      <c r="D11" s="210"/>
      <c r="E11" s="210"/>
      <c r="M11" s="210"/>
      <c r="N11" s="210"/>
      <c r="V11" s="135"/>
    </row>
    <row r="12" spans="1:23" s="2" customFormat="1" ht="40.5" customHeight="1" x14ac:dyDescent="0.3">
      <c r="M12" s="210"/>
      <c r="N12" s="210"/>
      <c r="V12" s="135"/>
    </row>
    <row r="13" spans="1:23" s="2" customFormat="1" ht="40.5" customHeight="1" x14ac:dyDescent="0.3">
      <c r="M13" s="210"/>
      <c r="N13" s="210"/>
      <c r="V13" s="135"/>
    </row>
    <row r="14" spans="1:23" s="2" customFormat="1" ht="40.5" customHeight="1" x14ac:dyDescent="0.3">
      <c r="M14" s="210"/>
      <c r="N14" s="210"/>
      <c r="V14" s="135"/>
    </row>
    <row r="15" spans="1:23" s="2" customFormat="1" ht="40.5" customHeight="1" x14ac:dyDescent="0.3">
      <c r="M15" s="210"/>
      <c r="N15" s="210"/>
      <c r="V15" s="135"/>
    </row>
    <row r="16" spans="1:23" ht="47.25" customHeight="1" x14ac:dyDescent="0.3">
      <c r="M16" s="136"/>
      <c r="N16" s="3"/>
      <c r="O16" s="14"/>
      <c r="V16" s="5"/>
      <c r="W16" s="5"/>
    </row>
    <row r="17" spans="1:24" x14ac:dyDescent="0.3">
      <c r="M17" s="3"/>
      <c r="N17" s="3"/>
      <c r="O17" s="3"/>
      <c r="R17" s="5"/>
      <c r="S17" s="5"/>
      <c r="T17" s="5"/>
      <c r="U17" s="5"/>
      <c r="V17" s="5"/>
      <c r="W17" s="5"/>
    </row>
    <row r="18" spans="1:24" x14ac:dyDescent="0.3">
      <c r="F18" s="3"/>
      <c r="G18" s="3"/>
      <c r="N18" s="3"/>
      <c r="O18" s="161"/>
      <c r="R18" s="135"/>
      <c r="S18" s="135"/>
      <c r="T18" s="135"/>
      <c r="U18" s="135"/>
      <c r="V18" s="5"/>
      <c r="W18" s="5"/>
    </row>
    <row r="19" spans="1:24" ht="50.25" customHeight="1" x14ac:dyDescent="0.55000000000000004">
      <c r="G19" s="216"/>
      <c r="H19" s="630" t="s">
        <v>106</v>
      </c>
      <c r="I19" s="630"/>
      <c r="J19" s="630"/>
      <c r="K19" s="630"/>
      <c r="L19" s="630"/>
      <c r="M19" s="212"/>
      <c r="N19" s="62"/>
      <c r="O19" s="161"/>
      <c r="S19" s="135"/>
      <c r="T19" s="135"/>
      <c r="U19" s="135"/>
    </row>
    <row r="20" spans="1:24" ht="28.5" customHeight="1" x14ac:dyDescent="0.5">
      <c r="A20" s="629" t="s">
        <v>240</v>
      </c>
      <c r="B20" s="629"/>
      <c r="C20" s="629"/>
      <c r="D20" s="629"/>
      <c r="E20" s="629"/>
      <c r="F20" s="629"/>
      <c r="G20" s="215"/>
      <c r="H20" s="624" t="str">
        <f>'State Data'!F36</f>
        <v>State's Average 6 Month Wage</v>
      </c>
      <c r="I20" s="624"/>
      <c r="J20" s="624"/>
      <c r="K20" s="632">
        <f>'State Data'!G36</f>
        <v>25430</v>
      </c>
      <c r="L20" s="632"/>
      <c r="N20" s="3"/>
      <c r="O20" s="161"/>
      <c r="P20" s="2"/>
      <c r="Q20" s="2"/>
      <c r="S20" s="135"/>
      <c r="T20" s="135"/>
      <c r="U20" s="135"/>
      <c r="V20" s="40"/>
      <c r="W20" s="63"/>
    </row>
    <row r="21" spans="1:24" ht="38.25" customHeight="1" x14ac:dyDescent="0.35">
      <c r="A21" s="631" t="s">
        <v>242</v>
      </c>
      <c r="B21" s="631"/>
      <c r="C21" s="631"/>
      <c r="D21" s="631"/>
      <c r="E21" s="233" t="s">
        <v>35</v>
      </c>
      <c r="F21" s="234" t="s">
        <v>243</v>
      </c>
      <c r="G21" s="217"/>
      <c r="H21" s="620" t="s">
        <v>466</v>
      </c>
      <c r="I21" s="620"/>
      <c r="J21" s="620"/>
      <c r="K21" s="627">
        <f>'State Data'!G37</f>
        <v>0.11159421083037291</v>
      </c>
      <c r="L21" s="627"/>
      <c r="N21" s="3"/>
      <c r="O21" s="161"/>
      <c r="P21" s="2"/>
      <c r="Q21" s="2"/>
      <c r="S21" s="135"/>
      <c r="T21" s="135"/>
      <c r="U21" s="135"/>
      <c r="V21" s="40"/>
      <c r="W21" s="63"/>
    </row>
    <row r="22" spans="1:24" s="2" customFormat="1" ht="39.75" customHeight="1" x14ac:dyDescent="0.35">
      <c r="A22" s="626" t="s">
        <v>1</v>
      </c>
      <c r="B22" s="626"/>
      <c r="C22" s="626"/>
      <c r="D22" s="626"/>
      <c r="E22" s="218">
        <f>'State Data'!G4</f>
        <v>165451</v>
      </c>
      <c r="F22" s="218">
        <f>'State Data'!H4</f>
        <v>316747</v>
      </c>
      <c r="G22" s="217"/>
      <c r="H22" s="624" t="s">
        <v>387</v>
      </c>
      <c r="I22" s="624"/>
      <c r="J22" s="624"/>
      <c r="K22" s="625">
        <f>'State Data'!G33</f>
        <v>0.89699980946386459</v>
      </c>
      <c r="L22" s="625"/>
      <c r="N22" s="5"/>
      <c r="O22" s="161"/>
      <c r="P22"/>
      <c r="Q22"/>
      <c r="S22" s="135"/>
      <c r="T22" s="135"/>
      <c r="U22" s="135"/>
      <c r="V22" s="43"/>
      <c r="W22" s="43"/>
    </row>
    <row r="23" spans="1:24" ht="31.5" customHeight="1" x14ac:dyDescent="0.35">
      <c r="A23" s="623" t="s">
        <v>2</v>
      </c>
      <c r="B23" s="623"/>
      <c r="C23" s="623"/>
      <c r="D23" s="623"/>
      <c r="E23" s="219">
        <f>'State Data'!G8</f>
        <v>210910</v>
      </c>
      <c r="F23" s="219">
        <f>'State Data'!H8</f>
        <v>265936</v>
      </c>
      <c r="G23" s="217"/>
      <c r="H23" s="620" t="s">
        <v>105</v>
      </c>
      <c r="I23" s="620"/>
      <c r="J23" s="620"/>
      <c r="K23" s="627">
        <f>'State Data'!G34</f>
        <v>0.30999981778716684</v>
      </c>
      <c r="L23" s="627"/>
      <c r="N23" s="5"/>
      <c r="O23" s="161"/>
      <c r="P23" s="5"/>
      <c r="Q23" s="5"/>
      <c r="R23" s="135"/>
      <c r="S23" s="5"/>
      <c r="T23" s="5"/>
      <c r="U23" s="5"/>
      <c r="V23" s="67"/>
      <c r="W23" s="67"/>
    </row>
    <row r="24" spans="1:24" ht="42.75" customHeight="1" x14ac:dyDescent="0.35">
      <c r="A24" s="626" t="s">
        <v>3</v>
      </c>
      <c r="B24" s="626"/>
      <c r="C24" s="626"/>
      <c r="D24" s="626"/>
      <c r="E24" s="220">
        <f>'State Data'!G12</f>
        <v>3022502645</v>
      </c>
      <c r="F24" s="218">
        <f>'State Data'!H12</f>
        <v>209212</v>
      </c>
      <c r="G24" s="2"/>
      <c r="H24" s="624" t="s">
        <v>107</v>
      </c>
      <c r="I24" s="624"/>
      <c r="J24" s="624"/>
      <c r="K24" s="636" t="str">
        <f>'State Data'!G38</f>
        <v xml:space="preserve">Food Services and Drinking Places </v>
      </c>
      <c r="L24" s="636"/>
      <c r="N24" s="5"/>
      <c r="O24" s="161"/>
      <c r="P24" s="2"/>
      <c r="Q24" s="2"/>
      <c r="R24" s="135"/>
      <c r="S24" s="5"/>
      <c r="T24" s="5"/>
      <c r="U24" s="5"/>
      <c r="V24" s="74"/>
      <c r="W24" s="74"/>
    </row>
    <row r="25" spans="1:24" ht="45.75" customHeight="1" x14ac:dyDescent="0.35">
      <c r="D25" s="3"/>
      <c r="E25" s="3"/>
      <c r="F25" s="2"/>
      <c r="G25" s="2"/>
      <c r="H25" s="620" t="s">
        <v>241</v>
      </c>
      <c r="I25" s="620"/>
      <c r="J25" s="620"/>
      <c r="K25" s="637" t="str">
        <f>'State Data'!G39</f>
        <v xml:space="preserve">Rail Transportation </v>
      </c>
      <c r="L25" s="637"/>
      <c r="N25" s="5"/>
      <c r="O25" s="161"/>
      <c r="R25" s="135"/>
      <c r="S25" s="5"/>
      <c r="T25" s="5"/>
      <c r="U25" s="5"/>
      <c r="V25" s="66"/>
      <c r="W25" s="67"/>
      <c r="X25" s="67"/>
    </row>
    <row r="26" spans="1:24" ht="24.75" customHeight="1" x14ac:dyDescent="0.45">
      <c r="A26" s="59"/>
      <c r="B26" s="59"/>
      <c r="C26" s="59"/>
      <c r="D26" s="59"/>
      <c r="E26" s="59"/>
      <c r="F26" s="59"/>
      <c r="G26" s="59"/>
      <c r="H26" s="59"/>
      <c r="I26" s="59"/>
      <c r="J26" s="59"/>
      <c r="K26" s="59"/>
      <c r="L26" s="59"/>
      <c r="N26" s="68"/>
      <c r="O26" s="40"/>
      <c r="R26" s="135"/>
      <c r="V26" s="3"/>
      <c r="W26" s="3"/>
      <c r="X26" s="3"/>
    </row>
    <row r="27" spans="1:24" ht="24" customHeight="1" x14ac:dyDescent="0.45">
      <c r="L27" s="213"/>
      <c r="N27" s="211"/>
      <c r="O27" s="211"/>
      <c r="R27" s="5"/>
      <c r="S27" s="3"/>
      <c r="T27" s="3"/>
      <c r="U27" s="62"/>
      <c r="V27" s="14"/>
      <c r="W27" s="14"/>
      <c r="X27" s="14"/>
    </row>
    <row r="28" spans="1:24" ht="31.5" customHeight="1" x14ac:dyDescent="0.35">
      <c r="L28" s="213"/>
      <c r="N28" s="622"/>
      <c r="O28" s="61"/>
      <c r="P28" s="2"/>
      <c r="Q28" s="2"/>
      <c r="W28" s="14"/>
      <c r="X28" s="14"/>
    </row>
    <row r="29" spans="1:24" ht="30.75" customHeight="1" x14ac:dyDescent="0.3">
      <c r="H29" s="2"/>
      <c r="I29" s="2"/>
      <c r="J29" s="2"/>
      <c r="K29" s="2"/>
      <c r="L29" s="214"/>
      <c r="M29" s="2"/>
      <c r="N29" s="622"/>
      <c r="O29" s="65"/>
      <c r="P29" s="2"/>
      <c r="Q29" s="2"/>
      <c r="W29" s="14"/>
      <c r="X29" s="14"/>
    </row>
    <row r="30" spans="1:24" ht="52.5" customHeight="1" x14ac:dyDescent="0.3">
      <c r="L30" s="214"/>
      <c r="N30" s="5"/>
      <c r="O30" s="61"/>
      <c r="P30" s="2"/>
      <c r="Q30" s="2"/>
    </row>
    <row r="31" spans="1:24" ht="21" x14ac:dyDescent="0.3">
      <c r="L31" s="214"/>
      <c r="O31" s="61"/>
      <c r="P31" s="2"/>
      <c r="Q31" s="2"/>
    </row>
    <row r="32" spans="1:24" ht="21" x14ac:dyDescent="0.3">
      <c r="H32" s="2"/>
      <c r="I32" s="2"/>
      <c r="L32" s="214"/>
      <c r="O32" s="3"/>
      <c r="P32" s="2"/>
      <c r="Q32" s="2"/>
    </row>
    <row r="33" spans="5:18" ht="28.5" x14ac:dyDescent="0.45">
      <c r="E33" s="3"/>
      <c r="F33" s="211"/>
      <c r="G33" s="211"/>
      <c r="H33" s="3"/>
    </row>
    <row r="34" spans="5:18" x14ac:dyDescent="0.3">
      <c r="E34" s="14"/>
    </row>
    <row r="35" spans="5:18" x14ac:dyDescent="0.3">
      <c r="E35" s="27"/>
      <c r="J35" s="3"/>
      <c r="K35" s="3"/>
      <c r="L35" s="62"/>
      <c r="M35" s="14"/>
    </row>
    <row r="36" spans="5:18" x14ac:dyDescent="0.3">
      <c r="E36" s="27"/>
      <c r="J36" s="64"/>
      <c r="K36" s="64"/>
      <c r="L36" s="70"/>
      <c r="M36" s="14"/>
    </row>
    <row r="37" spans="5:18" ht="62.25" customHeight="1" x14ac:dyDescent="0.3">
      <c r="E37" s="19"/>
      <c r="J37" s="3"/>
      <c r="K37" s="3"/>
      <c r="L37" s="71"/>
      <c r="N37" s="63"/>
    </row>
    <row r="38" spans="5:18" x14ac:dyDescent="0.3">
      <c r="I38" s="3"/>
      <c r="J38" s="3"/>
      <c r="K38" s="42"/>
      <c r="L38" s="73"/>
    </row>
    <row r="39" spans="5:18" x14ac:dyDescent="0.3">
      <c r="I39" s="3"/>
      <c r="J39" s="3"/>
      <c r="K39" s="3"/>
      <c r="L39" s="3"/>
    </row>
    <row r="40" spans="5:18" x14ac:dyDescent="0.3">
      <c r="I40" s="41"/>
      <c r="J40" s="3"/>
      <c r="K40" s="3"/>
      <c r="L40" s="3"/>
    </row>
    <row r="41" spans="5:18" x14ac:dyDescent="0.3">
      <c r="I41" s="3"/>
      <c r="J41" s="14"/>
      <c r="K41" s="14"/>
      <c r="L41" s="14"/>
    </row>
    <row r="42" spans="5:18" x14ac:dyDescent="0.3">
      <c r="I42" s="3"/>
      <c r="J42" s="14"/>
      <c r="K42" s="14"/>
      <c r="L42" s="14"/>
    </row>
    <row r="43" spans="5:18" x14ac:dyDescent="0.3">
      <c r="F43" s="63"/>
      <c r="G43" s="63"/>
      <c r="I43" s="61"/>
      <c r="J43" s="14"/>
      <c r="K43" s="14"/>
      <c r="L43" s="14"/>
    </row>
    <row r="44" spans="5:18" x14ac:dyDescent="0.3">
      <c r="F44" s="61"/>
      <c r="G44" s="61"/>
      <c r="H44" s="61"/>
      <c r="I44" s="3"/>
      <c r="M44" s="62"/>
    </row>
    <row r="45" spans="5:18" x14ac:dyDescent="0.3">
      <c r="F45" s="61"/>
      <c r="G45" s="61"/>
      <c r="H45" s="61"/>
      <c r="I45" s="14"/>
    </row>
    <row r="46" spans="5:18" x14ac:dyDescent="0.3">
      <c r="P46" s="65"/>
      <c r="Q46" s="65"/>
      <c r="R46" s="27"/>
    </row>
    <row r="47" spans="5:18" x14ac:dyDescent="0.3">
      <c r="P47" s="26"/>
      <c r="Q47" s="61"/>
      <c r="R47" s="27"/>
    </row>
    <row r="48" spans="5:18" x14ac:dyDescent="0.3">
      <c r="P48" s="72"/>
      <c r="Q48" s="61"/>
      <c r="R48" s="19"/>
    </row>
    <row r="49" spans="16:21" x14ac:dyDescent="0.3">
      <c r="P49" s="61"/>
      <c r="Q49" s="26"/>
      <c r="R49" s="19"/>
    </row>
    <row r="50" spans="16:21" x14ac:dyDescent="0.3">
      <c r="P50" s="3"/>
      <c r="Q50" s="3"/>
    </row>
    <row r="51" spans="16:21" x14ac:dyDescent="0.3">
      <c r="P51" s="14"/>
      <c r="Q51" s="14"/>
      <c r="S51" s="41"/>
      <c r="T51" s="41"/>
      <c r="U51" s="63"/>
    </row>
    <row r="52" spans="16:21" x14ac:dyDescent="0.3">
      <c r="P52" s="27"/>
      <c r="Q52" s="27"/>
    </row>
    <row r="53" spans="16:21" x14ac:dyDescent="0.3">
      <c r="P53" s="27"/>
      <c r="Q53" s="27"/>
    </row>
    <row r="54" spans="16:21" x14ac:dyDescent="0.3">
      <c r="P54" s="19"/>
      <c r="Q54" s="19"/>
    </row>
    <row r="55" spans="16:21" x14ac:dyDescent="0.3">
      <c r="P55" s="19"/>
      <c r="Q55" s="19"/>
      <c r="R55" s="3"/>
    </row>
    <row r="61" spans="16:21" x14ac:dyDescent="0.3">
      <c r="P61" s="61"/>
      <c r="Q61" s="61"/>
    </row>
  </sheetData>
  <mergeCells count="19">
    <mergeCell ref="N28:N29"/>
    <mergeCell ref="K24:L24"/>
    <mergeCell ref="K25:L25"/>
    <mergeCell ref="H19:L19"/>
    <mergeCell ref="H21:J21"/>
    <mergeCell ref="H22:J22"/>
    <mergeCell ref="H23:J23"/>
    <mergeCell ref="K22:L22"/>
    <mergeCell ref="K23:L23"/>
    <mergeCell ref="H24:J24"/>
    <mergeCell ref="H25:J25"/>
    <mergeCell ref="K20:L20"/>
    <mergeCell ref="K21:L21"/>
    <mergeCell ref="H20:J20"/>
    <mergeCell ref="A20:F20"/>
    <mergeCell ref="A22:D22"/>
    <mergeCell ref="A23:D23"/>
    <mergeCell ref="A24:D24"/>
    <mergeCell ref="A21:D21"/>
  </mergeCells>
  <pageMargins left="0.65" right="0.12" top="0.34" bottom="0.03" header="0.22" footer="0.15"/>
  <pageSetup scale="6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pageSetUpPr fitToPage="1"/>
  </sheetPr>
  <dimension ref="A1:S85"/>
  <sheetViews>
    <sheetView zoomScale="60" zoomScaleNormal="60" workbookViewId="0">
      <selection activeCell="J14" sqref="J14"/>
    </sheetView>
  </sheetViews>
  <sheetFormatPr defaultRowHeight="18.75" x14ac:dyDescent="0.3"/>
  <cols>
    <col min="1" max="1" width="30" style="10" customWidth="1"/>
    <col min="2" max="2" width="53.09765625" style="12" customWidth="1"/>
    <col min="3" max="3" width="5.296875" style="82" customWidth="1"/>
    <col min="4" max="4" width="35.09765625" style="11" customWidth="1"/>
    <col min="5" max="5" width="23.69921875" style="12" customWidth="1"/>
    <col min="6" max="6" width="18.69921875" style="12" customWidth="1"/>
    <col min="7" max="7" width="14.09765625" style="12" customWidth="1"/>
    <col min="8" max="8" width="12.59765625" style="12" customWidth="1"/>
    <col min="9" max="9" width="3.3984375" style="9" customWidth="1"/>
    <col min="13" max="13" width="11.3984375" customWidth="1"/>
  </cols>
  <sheetData>
    <row r="1" spans="1:15" s="21" customFormat="1" ht="31.5" x14ac:dyDescent="0.5">
      <c r="A1" s="658" t="s">
        <v>75</v>
      </c>
      <c r="B1" s="658"/>
      <c r="C1" s="99"/>
      <c r="D1" s="658" t="s">
        <v>74</v>
      </c>
      <c r="E1" s="658"/>
      <c r="F1" s="658"/>
      <c r="G1" s="658"/>
      <c r="H1" s="658"/>
    </row>
    <row r="2" spans="1:15" ht="55.5" customHeight="1" x14ac:dyDescent="0.35">
      <c r="A2" s="657" t="s">
        <v>78</v>
      </c>
      <c r="B2" s="657"/>
      <c r="C2" s="100"/>
      <c r="D2" s="663" t="s">
        <v>71</v>
      </c>
      <c r="E2" s="664"/>
      <c r="F2" s="664"/>
      <c r="G2" s="664"/>
      <c r="H2" s="665"/>
      <c r="I2" s="4"/>
    </row>
    <row r="3" spans="1:15" ht="48" x14ac:dyDescent="0.3">
      <c r="A3" s="93" t="s">
        <v>8</v>
      </c>
      <c r="B3" s="107" t="s">
        <v>90</v>
      </c>
      <c r="C3" s="100"/>
      <c r="D3" s="669" t="s">
        <v>349</v>
      </c>
      <c r="E3" s="670"/>
      <c r="F3" s="670"/>
      <c r="G3" s="670"/>
      <c r="H3" s="671"/>
      <c r="I3" s="4"/>
    </row>
    <row r="4" spans="1:15" ht="63" customHeight="1" x14ac:dyDescent="0.3">
      <c r="A4" s="96" t="s">
        <v>77</v>
      </c>
      <c r="B4" s="107" t="s">
        <v>614</v>
      </c>
      <c r="C4" s="100"/>
      <c r="D4" s="673" t="s">
        <v>76</v>
      </c>
      <c r="E4" s="674"/>
      <c r="F4" s="674"/>
      <c r="G4" s="674"/>
      <c r="H4" s="675"/>
      <c r="I4" s="4"/>
    </row>
    <row r="5" spans="1:15" ht="49.5" customHeight="1" x14ac:dyDescent="0.35">
      <c r="A5" s="96" t="s">
        <v>51</v>
      </c>
      <c r="B5" s="107" t="s">
        <v>62</v>
      </c>
      <c r="C5" s="100"/>
      <c r="D5" s="663" t="s">
        <v>72</v>
      </c>
      <c r="E5" s="664"/>
      <c r="F5" s="664"/>
      <c r="G5" s="664"/>
      <c r="H5" s="665"/>
      <c r="I5" s="4"/>
    </row>
    <row r="6" spans="1:15" ht="48.75" customHeight="1" x14ac:dyDescent="0.3">
      <c r="A6" s="96" t="s">
        <v>52</v>
      </c>
      <c r="B6" s="107" t="s">
        <v>63</v>
      </c>
      <c r="C6" s="100"/>
      <c r="D6" s="666" t="s">
        <v>85</v>
      </c>
      <c r="E6" s="667"/>
      <c r="F6" s="667"/>
      <c r="G6" s="667"/>
      <c r="H6" s="668"/>
      <c r="I6" s="4"/>
    </row>
    <row r="7" spans="1:15" ht="39" customHeight="1" x14ac:dyDescent="0.35">
      <c r="A7" s="96" t="s">
        <v>49</v>
      </c>
      <c r="B7" s="107" t="s">
        <v>91</v>
      </c>
      <c r="C7" s="100"/>
      <c r="D7" s="663" t="s">
        <v>39</v>
      </c>
      <c r="E7" s="664"/>
      <c r="F7" s="664"/>
      <c r="G7" s="664"/>
      <c r="H7" s="665"/>
      <c r="I7" s="4"/>
      <c r="J7" s="1"/>
    </row>
    <row r="8" spans="1:15" ht="84.75" customHeight="1" x14ac:dyDescent="0.3">
      <c r="A8" s="96" t="s">
        <v>50</v>
      </c>
      <c r="B8" s="107" t="s">
        <v>526</v>
      </c>
      <c r="C8" s="100"/>
      <c r="D8" s="109" t="s">
        <v>129</v>
      </c>
      <c r="E8" s="676" t="s">
        <v>362</v>
      </c>
      <c r="F8" s="676"/>
      <c r="G8" s="676"/>
      <c r="H8" s="676"/>
      <c r="I8" s="4"/>
    </row>
    <row r="9" spans="1:15" ht="72.75" customHeight="1" x14ac:dyDescent="0.35">
      <c r="A9" s="657" t="s">
        <v>473</v>
      </c>
      <c r="B9" s="657"/>
      <c r="C9" s="100"/>
      <c r="D9" s="109" t="s">
        <v>40</v>
      </c>
      <c r="E9" s="677" t="s">
        <v>735</v>
      </c>
      <c r="F9" s="677"/>
      <c r="G9" s="677"/>
      <c r="H9" s="677"/>
      <c r="I9" s="4"/>
    </row>
    <row r="10" spans="1:15" ht="42.75" customHeight="1" x14ac:dyDescent="0.35">
      <c r="A10" s="95" t="s">
        <v>348</v>
      </c>
      <c r="B10" s="107" t="s">
        <v>355</v>
      </c>
      <c r="C10" s="100"/>
      <c r="D10" s="663" t="s">
        <v>41</v>
      </c>
      <c r="E10" s="664"/>
      <c r="F10" s="664"/>
      <c r="G10" s="664"/>
      <c r="H10" s="665"/>
      <c r="I10" s="4"/>
    </row>
    <row r="11" spans="1:15" ht="54" customHeight="1" x14ac:dyDescent="0.3">
      <c r="A11" s="93" t="s">
        <v>53</v>
      </c>
      <c r="B11" s="107" t="s">
        <v>354</v>
      </c>
      <c r="C11" s="100"/>
      <c r="D11" s="95" t="s">
        <v>13</v>
      </c>
      <c r="E11" s="114" t="s">
        <v>86</v>
      </c>
      <c r="F11" s="91" t="s">
        <v>58</v>
      </c>
      <c r="G11" s="91" t="s">
        <v>59</v>
      </c>
      <c r="H11" s="91"/>
      <c r="I11" s="4"/>
    </row>
    <row r="12" spans="1:15" ht="41.25" customHeight="1" x14ac:dyDescent="0.3">
      <c r="A12" s="94" t="s">
        <v>12</v>
      </c>
      <c r="B12" s="107" t="s">
        <v>357</v>
      </c>
      <c r="C12" s="100"/>
      <c r="D12" s="95" t="s">
        <v>14</v>
      </c>
      <c r="E12" s="655" t="s">
        <v>463</v>
      </c>
      <c r="F12" s="655" t="s">
        <v>464</v>
      </c>
      <c r="G12" s="655" t="s">
        <v>73</v>
      </c>
      <c r="H12" s="92"/>
      <c r="I12" s="4"/>
    </row>
    <row r="13" spans="1:15" ht="42" customHeight="1" x14ac:dyDescent="0.3">
      <c r="A13" s="96" t="s">
        <v>54</v>
      </c>
      <c r="B13" s="107" t="s">
        <v>356</v>
      </c>
      <c r="C13" s="100"/>
      <c r="D13" s="95" t="s">
        <v>447</v>
      </c>
      <c r="E13" s="656"/>
      <c r="F13" s="656"/>
      <c r="G13" s="656"/>
      <c r="H13" s="92"/>
      <c r="I13" s="4"/>
    </row>
    <row r="14" spans="1:15" ht="32.25" customHeight="1" x14ac:dyDescent="0.35">
      <c r="A14" s="657" t="s">
        <v>79</v>
      </c>
      <c r="B14" s="657"/>
      <c r="C14" s="100"/>
      <c r="D14" s="95" t="s">
        <v>21</v>
      </c>
      <c r="E14" s="656"/>
      <c r="F14" s="656"/>
      <c r="G14" s="656"/>
      <c r="H14" s="92"/>
      <c r="I14" s="4"/>
    </row>
    <row r="15" spans="1:15" ht="86.25" customHeight="1" x14ac:dyDescent="0.3">
      <c r="A15" s="96" t="s">
        <v>18</v>
      </c>
      <c r="B15" s="107" t="s">
        <v>461</v>
      </c>
      <c r="C15" s="100"/>
      <c r="D15" s="95" t="s">
        <v>26</v>
      </c>
      <c r="E15" s="656"/>
      <c r="F15" s="656"/>
      <c r="G15" s="656"/>
      <c r="H15" s="92"/>
      <c r="I15" s="4"/>
      <c r="J15" s="3"/>
      <c r="K15" s="3"/>
      <c r="L15" s="3"/>
      <c r="M15" s="3"/>
      <c r="N15" s="3"/>
      <c r="O15" s="3"/>
    </row>
    <row r="16" spans="1:15" ht="33" x14ac:dyDescent="0.35">
      <c r="A16" s="96" t="s">
        <v>15</v>
      </c>
      <c r="B16" s="90" t="s">
        <v>64</v>
      </c>
      <c r="C16" s="100"/>
      <c r="D16" s="646" t="s">
        <v>82</v>
      </c>
      <c r="E16" s="647"/>
      <c r="F16" s="647"/>
      <c r="G16" s="647"/>
      <c r="H16" s="648"/>
      <c r="I16" s="4"/>
      <c r="J16" s="3"/>
      <c r="K16" s="3"/>
      <c r="L16" s="3"/>
      <c r="M16" s="3"/>
      <c r="N16" s="3"/>
      <c r="O16" s="3"/>
    </row>
    <row r="17" spans="1:19" ht="54" customHeight="1" x14ac:dyDescent="0.3">
      <c r="A17" s="96" t="s">
        <v>19</v>
      </c>
      <c r="B17" s="90" t="s">
        <v>65</v>
      </c>
      <c r="C17" s="100"/>
      <c r="D17" s="110" t="s">
        <v>87</v>
      </c>
      <c r="E17" s="643" t="s">
        <v>723</v>
      </c>
      <c r="F17" s="644"/>
      <c r="G17" s="644"/>
      <c r="H17" s="645"/>
      <c r="I17" s="4"/>
      <c r="J17" s="3"/>
      <c r="K17" s="67"/>
      <c r="L17" s="67"/>
      <c r="M17" s="81"/>
      <c r="N17" s="3"/>
      <c r="O17" s="3"/>
    </row>
    <row r="18" spans="1:19" ht="32.25" customHeight="1" x14ac:dyDescent="0.3">
      <c r="A18" s="95" t="s">
        <v>20</v>
      </c>
      <c r="B18" s="107" t="s">
        <v>462</v>
      </c>
      <c r="C18" s="100"/>
      <c r="D18" s="110" t="s">
        <v>375</v>
      </c>
      <c r="E18" s="659" t="s">
        <v>376</v>
      </c>
      <c r="F18" s="660"/>
      <c r="G18" s="660"/>
      <c r="H18" s="661"/>
      <c r="I18" s="4"/>
      <c r="J18" s="3"/>
      <c r="K18" s="67"/>
      <c r="L18" s="67"/>
      <c r="M18" s="67"/>
      <c r="N18" s="3"/>
      <c r="O18" s="3"/>
    </row>
    <row r="19" spans="1:19" ht="21" x14ac:dyDescent="0.35">
      <c r="A19" s="657" t="s">
        <v>80</v>
      </c>
      <c r="B19" s="657"/>
      <c r="C19" s="100"/>
      <c r="D19" s="110" t="s">
        <v>88</v>
      </c>
      <c r="E19" s="672" t="s">
        <v>460</v>
      </c>
      <c r="F19" s="672"/>
      <c r="G19" s="672"/>
      <c r="H19" s="401"/>
      <c r="I19" s="4"/>
      <c r="J19" s="3"/>
      <c r="K19" s="3"/>
      <c r="L19" s="3"/>
      <c r="M19" s="3"/>
      <c r="N19" s="3"/>
      <c r="O19" s="3"/>
    </row>
    <row r="20" spans="1:19" s="2" customFormat="1" ht="36.75" customHeight="1" x14ac:dyDescent="0.3">
      <c r="A20" s="96" t="s">
        <v>9</v>
      </c>
      <c r="B20" s="107" t="s">
        <v>66</v>
      </c>
      <c r="C20" s="100"/>
      <c r="D20" s="110" t="s">
        <v>47</v>
      </c>
      <c r="E20" s="649" t="s">
        <v>465</v>
      </c>
      <c r="F20" s="650"/>
      <c r="G20" s="650"/>
      <c r="H20" s="651"/>
      <c r="I20" s="4"/>
      <c r="J20" s="41"/>
      <c r="K20" s="41"/>
      <c r="L20" s="41"/>
      <c r="M20" s="41"/>
      <c r="N20" s="41"/>
      <c r="O20" s="41"/>
    </row>
    <row r="21" spans="1:19" ht="48" customHeight="1" x14ac:dyDescent="0.3">
      <c r="A21" s="96" t="s">
        <v>22</v>
      </c>
      <c r="B21" s="107" t="s">
        <v>67</v>
      </c>
      <c r="C21" s="100"/>
      <c r="D21" s="110" t="s">
        <v>48</v>
      </c>
      <c r="E21" s="652" t="s">
        <v>89</v>
      </c>
      <c r="F21" s="653"/>
      <c r="G21" s="653"/>
      <c r="H21" s="654"/>
      <c r="I21" s="4"/>
      <c r="J21" s="3"/>
      <c r="K21" s="3"/>
      <c r="L21" s="3"/>
      <c r="M21" s="3"/>
      <c r="N21" s="3"/>
      <c r="O21" s="3"/>
    </row>
    <row r="22" spans="1:19" ht="37.5" x14ac:dyDescent="0.35">
      <c r="A22" s="657" t="s">
        <v>81</v>
      </c>
      <c r="B22" s="657"/>
      <c r="C22" s="100"/>
      <c r="D22" s="111" t="s">
        <v>363</v>
      </c>
      <c r="E22" s="641" t="s">
        <v>720</v>
      </c>
      <c r="F22" s="641"/>
      <c r="G22" s="641"/>
      <c r="H22" s="641"/>
      <c r="I22" s="4"/>
      <c r="J22" s="3"/>
      <c r="K22" s="3"/>
      <c r="L22" s="3"/>
      <c r="M22" s="3"/>
      <c r="N22" s="3"/>
      <c r="O22" s="3"/>
      <c r="R22" s="16"/>
      <c r="S22" s="18"/>
    </row>
    <row r="23" spans="1:19" ht="76.5" customHeight="1" thickBot="1" x14ac:dyDescent="0.35">
      <c r="A23" s="96" t="s">
        <v>605</v>
      </c>
      <c r="B23" s="108" t="s">
        <v>721</v>
      </c>
      <c r="C23" s="118"/>
      <c r="D23" s="121" t="s">
        <v>364</v>
      </c>
      <c r="E23" s="642"/>
      <c r="F23" s="642"/>
      <c r="G23" s="642"/>
      <c r="H23" s="642"/>
      <c r="I23" s="4"/>
      <c r="J23" s="3"/>
      <c r="K23" s="3"/>
      <c r="L23" s="3"/>
      <c r="M23" s="3"/>
      <c r="N23" s="3"/>
      <c r="O23" s="3"/>
    </row>
    <row r="24" spans="1:19" ht="55.5" customHeight="1" x14ac:dyDescent="0.3">
      <c r="A24" s="96" t="s">
        <v>237</v>
      </c>
      <c r="B24" s="115" t="s">
        <v>239</v>
      </c>
      <c r="C24" s="118"/>
      <c r="D24" s="638"/>
      <c r="E24" s="639"/>
      <c r="F24" s="639"/>
      <c r="G24" s="639"/>
      <c r="H24" s="640"/>
      <c r="I24" s="4"/>
      <c r="J24" s="7"/>
      <c r="K24" s="7"/>
      <c r="L24" s="8"/>
      <c r="M24" s="39"/>
      <c r="N24" s="39"/>
      <c r="O24" s="3"/>
      <c r="R24" s="16"/>
      <c r="S24" s="18"/>
    </row>
    <row r="25" spans="1:19" s="2" customFormat="1" ht="48" x14ac:dyDescent="0.3">
      <c r="A25" s="96" t="s">
        <v>458</v>
      </c>
      <c r="B25" s="115" t="s">
        <v>459</v>
      </c>
      <c r="C25" s="118"/>
      <c r="D25" s="129"/>
      <c r="E25" s="88"/>
      <c r="F25" s="88"/>
      <c r="G25" s="88"/>
      <c r="H25" s="128"/>
      <c r="I25" s="4"/>
      <c r="J25" s="3"/>
      <c r="K25" s="67"/>
      <c r="L25" s="40"/>
      <c r="M25" s="40"/>
      <c r="N25" s="60"/>
      <c r="O25" s="41"/>
      <c r="R25" s="17"/>
      <c r="S25" s="17"/>
    </row>
    <row r="26" spans="1:19" ht="21" x14ac:dyDescent="0.35">
      <c r="A26" s="657" t="s">
        <v>82</v>
      </c>
      <c r="B26" s="657"/>
      <c r="C26" s="118"/>
      <c r="D26" s="130"/>
      <c r="E26" s="124"/>
      <c r="F26" s="112"/>
      <c r="G26" s="124"/>
      <c r="H26" s="128"/>
      <c r="I26" s="4"/>
      <c r="J26" s="3"/>
      <c r="K26" s="3"/>
      <c r="L26" s="62"/>
      <c r="M26" s="40"/>
      <c r="N26" s="63"/>
      <c r="O26" s="3"/>
      <c r="R26" s="16"/>
      <c r="S26" s="18"/>
    </row>
    <row r="27" spans="1:19" ht="48" customHeight="1" x14ac:dyDescent="0.3">
      <c r="A27" s="101" t="s">
        <v>83</v>
      </c>
      <c r="B27" s="102" t="s">
        <v>84</v>
      </c>
      <c r="C27" s="118"/>
      <c r="D27" s="127"/>
      <c r="E27" s="88"/>
      <c r="F27" s="117"/>
      <c r="G27" s="117"/>
      <c r="H27" s="131"/>
      <c r="I27" s="4"/>
      <c r="J27" s="64"/>
      <c r="K27" s="64"/>
      <c r="L27" s="69"/>
      <c r="M27" s="40"/>
      <c r="N27" s="63"/>
      <c r="O27" s="3"/>
      <c r="R27" s="16"/>
    </row>
    <row r="28" spans="1:19" x14ac:dyDescent="0.3">
      <c r="A28" s="97" t="s">
        <v>45</v>
      </c>
      <c r="B28" s="103" t="s">
        <v>70</v>
      </c>
      <c r="C28" s="118"/>
      <c r="D28" s="132"/>
      <c r="E28" s="88"/>
      <c r="F28" s="113"/>
      <c r="G28" s="113"/>
      <c r="H28" s="133"/>
      <c r="I28" s="4"/>
      <c r="J28" s="41"/>
      <c r="K28" s="41"/>
      <c r="L28" s="63"/>
      <c r="M28" s="62"/>
      <c r="N28" s="63"/>
      <c r="O28" s="3"/>
      <c r="R28" s="16"/>
      <c r="S28" s="16"/>
    </row>
    <row r="29" spans="1:19" ht="48" x14ac:dyDescent="0.3">
      <c r="A29" s="98" t="s">
        <v>60</v>
      </c>
      <c r="B29" s="104" t="s">
        <v>359</v>
      </c>
      <c r="C29" s="119"/>
      <c r="D29" s="127"/>
      <c r="E29" s="125"/>
      <c r="F29" s="113"/>
      <c r="G29" s="113"/>
      <c r="H29" s="134"/>
      <c r="I29" s="4"/>
      <c r="J29" s="64"/>
      <c r="K29" s="64"/>
      <c r="L29" s="70"/>
      <c r="M29" s="43"/>
      <c r="N29" s="43"/>
      <c r="O29" s="3"/>
      <c r="Q29" s="2"/>
      <c r="R29" s="16"/>
      <c r="S29" s="16"/>
    </row>
    <row r="30" spans="1:19" ht="32.25" x14ac:dyDescent="0.3">
      <c r="A30" s="98" t="s">
        <v>61</v>
      </c>
      <c r="B30" s="104" t="s">
        <v>360</v>
      </c>
      <c r="C30" s="119"/>
      <c r="D30" s="132"/>
      <c r="E30" s="88"/>
      <c r="F30" s="113"/>
      <c r="G30" s="113"/>
      <c r="H30" s="134"/>
      <c r="I30" s="4"/>
      <c r="J30" s="3"/>
      <c r="K30" s="67"/>
      <c r="L30" s="71"/>
      <c r="M30" s="67"/>
      <c r="N30" s="67"/>
      <c r="O30" s="3"/>
      <c r="R30" s="16"/>
      <c r="S30" s="16"/>
    </row>
    <row r="31" spans="1:19" ht="54.75" customHeight="1" x14ac:dyDescent="0.3">
      <c r="A31" s="89" t="s">
        <v>36</v>
      </c>
      <c r="B31" s="105" t="s">
        <v>734</v>
      </c>
      <c r="C31" s="119"/>
      <c r="D31" s="127"/>
      <c r="E31" s="125"/>
      <c r="F31" s="113"/>
      <c r="G31" s="113"/>
      <c r="H31" s="134"/>
      <c r="I31" s="4"/>
      <c r="J31" s="3"/>
      <c r="K31" s="42"/>
      <c r="L31" s="73"/>
      <c r="M31" s="74"/>
      <c r="N31" s="74"/>
      <c r="O31" s="3"/>
    </row>
    <row r="32" spans="1:19" ht="32.25" x14ac:dyDescent="0.3">
      <c r="A32" s="97" t="s">
        <v>68</v>
      </c>
      <c r="B32" s="104" t="s">
        <v>361</v>
      </c>
      <c r="C32" s="119"/>
      <c r="D32" s="132"/>
      <c r="E32" s="126"/>
      <c r="F32" s="113"/>
      <c r="G32" s="113"/>
      <c r="H32" s="134"/>
      <c r="I32" s="4"/>
      <c r="J32" s="3"/>
      <c r="K32" s="3"/>
      <c r="L32" s="66"/>
      <c r="M32" s="67"/>
      <c r="N32" s="67"/>
      <c r="O32" s="3"/>
    </row>
    <row r="33" spans="1:15" ht="19.5" thickBot="1" x14ac:dyDescent="0.35">
      <c r="A33" s="97" t="s">
        <v>44</v>
      </c>
      <c r="B33" s="106" t="s">
        <v>69</v>
      </c>
      <c r="C33" s="119"/>
      <c r="D33" s="449"/>
      <c r="E33" s="450"/>
      <c r="F33" s="451"/>
      <c r="G33" s="452"/>
      <c r="H33" s="453"/>
      <c r="I33" s="4"/>
      <c r="J33" s="3"/>
      <c r="K33" s="3"/>
      <c r="L33" s="3"/>
      <c r="M33" s="3"/>
      <c r="N33" s="3"/>
      <c r="O33" s="3"/>
    </row>
    <row r="34" spans="1:15" x14ac:dyDescent="0.3">
      <c r="A34" s="116"/>
      <c r="B34" s="116"/>
      <c r="C34" s="120"/>
      <c r="D34" s="122"/>
      <c r="E34" s="122"/>
      <c r="F34" s="123"/>
      <c r="G34" s="123"/>
      <c r="H34" s="123"/>
      <c r="I34" s="4"/>
      <c r="J34" s="3"/>
      <c r="K34" s="3"/>
      <c r="L34" s="3"/>
      <c r="M34" s="3"/>
      <c r="N34" s="3"/>
      <c r="O34" s="3"/>
    </row>
    <row r="35" spans="1:15" ht="19.5" thickBot="1" x14ac:dyDescent="0.35">
      <c r="A35" s="662" t="s">
        <v>474</v>
      </c>
      <c r="B35" s="662"/>
      <c r="C35" s="662"/>
      <c r="D35" s="662"/>
      <c r="I35" s="6"/>
      <c r="J35" s="3"/>
    </row>
    <row r="36" spans="1:15" ht="19.5" thickBot="1" x14ac:dyDescent="0.35">
      <c r="A36" s="454" t="s">
        <v>475</v>
      </c>
      <c r="B36" s="455" t="s">
        <v>476</v>
      </c>
      <c r="C36" s="6"/>
      <c r="D36" s="468" t="s">
        <v>527</v>
      </c>
      <c r="I36" s="6"/>
      <c r="J36" s="3"/>
    </row>
    <row r="37" spans="1:15" ht="37.5" x14ac:dyDescent="0.3">
      <c r="A37" s="456" t="s">
        <v>510</v>
      </c>
      <c r="B37" s="457" t="s">
        <v>479</v>
      </c>
      <c r="C37" s="6"/>
      <c r="D37" s="469" t="s">
        <v>528</v>
      </c>
      <c r="I37" s="6"/>
      <c r="J37" s="3"/>
    </row>
    <row r="38" spans="1:15" ht="37.5" x14ac:dyDescent="0.3">
      <c r="A38" s="458" t="s">
        <v>511</v>
      </c>
      <c r="B38" s="459" t="s">
        <v>480</v>
      </c>
      <c r="C38" s="6"/>
      <c r="D38" s="469" t="s">
        <v>529</v>
      </c>
      <c r="I38" s="6"/>
      <c r="J38" s="3"/>
    </row>
    <row r="39" spans="1:15" x14ac:dyDescent="0.3">
      <c r="A39" s="458" t="s">
        <v>512</v>
      </c>
      <c r="B39" s="459" t="s">
        <v>481</v>
      </c>
      <c r="C39" s="6"/>
      <c r="D39" s="469" t="s">
        <v>530</v>
      </c>
      <c r="I39" s="6"/>
      <c r="J39" s="3"/>
    </row>
    <row r="40" spans="1:15" x14ac:dyDescent="0.3">
      <c r="A40" s="458" t="s">
        <v>513</v>
      </c>
      <c r="B40" s="459" t="s">
        <v>482</v>
      </c>
      <c r="C40" s="6"/>
      <c r="D40" s="469" t="s">
        <v>531</v>
      </c>
      <c r="I40" s="6"/>
      <c r="J40" s="3"/>
    </row>
    <row r="41" spans="1:15" ht="37.5" x14ac:dyDescent="0.3">
      <c r="A41" s="458" t="s">
        <v>514</v>
      </c>
      <c r="B41" s="459" t="s">
        <v>483</v>
      </c>
      <c r="C41" s="6"/>
      <c r="D41" s="469" t="s">
        <v>532</v>
      </c>
      <c r="I41" s="6"/>
      <c r="J41" s="3"/>
    </row>
    <row r="42" spans="1:15" x14ac:dyDescent="0.3">
      <c r="A42" s="458" t="s">
        <v>515</v>
      </c>
      <c r="B42" s="459" t="s">
        <v>484</v>
      </c>
      <c r="C42" s="6"/>
      <c r="D42" s="469" t="s">
        <v>533</v>
      </c>
      <c r="I42" s="6"/>
      <c r="J42" s="3"/>
    </row>
    <row r="43" spans="1:15" x14ac:dyDescent="0.3">
      <c r="A43" s="460" t="s">
        <v>478</v>
      </c>
      <c r="B43" s="459" t="s">
        <v>485</v>
      </c>
      <c r="C43" s="11"/>
      <c r="D43" s="469" t="s">
        <v>534</v>
      </c>
      <c r="H43" s="6"/>
      <c r="I43" s="3"/>
    </row>
    <row r="44" spans="1:15" x14ac:dyDescent="0.3">
      <c r="A44" s="458" t="s">
        <v>516</v>
      </c>
      <c r="B44" s="459" t="s">
        <v>486</v>
      </c>
      <c r="C44" s="11"/>
      <c r="D44" s="469" t="s">
        <v>535</v>
      </c>
      <c r="H44" s="6"/>
      <c r="I44" s="3"/>
    </row>
    <row r="45" spans="1:15" x14ac:dyDescent="0.3">
      <c r="A45" s="458" t="s">
        <v>517</v>
      </c>
      <c r="B45" s="459" t="s">
        <v>487</v>
      </c>
      <c r="C45" s="11"/>
      <c r="D45" s="469" t="s">
        <v>536</v>
      </c>
      <c r="H45" s="6"/>
      <c r="I45" s="3"/>
    </row>
    <row r="46" spans="1:15" x14ac:dyDescent="0.3">
      <c r="A46" s="537" t="s">
        <v>615</v>
      </c>
      <c r="B46" s="459" t="s">
        <v>488</v>
      </c>
      <c r="C46" s="11"/>
      <c r="D46" s="469" t="s">
        <v>537</v>
      </c>
      <c r="H46" s="6"/>
      <c r="I46" s="3"/>
    </row>
    <row r="47" spans="1:15" ht="37.5" x14ac:dyDescent="0.3">
      <c r="A47" s="458" t="s">
        <v>518</v>
      </c>
      <c r="B47" s="459" t="s">
        <v>489</v>
      </c>
      <c r="C47" s="11"/>
      <c r="D47" s="469" t="s">
        <v>538</v>
      </c>
      <c r="H47" s="6"/>
      <c r="I47" s="3"/>
    </row>
    <row r="48" spans="1:15" x14ac:dyDescent="0.3">
      <c r="A48" s="458" t="s">
        <v>519</v>
      </c>
      <c r="B48" s="459" t="s">
        <v>490</v>
      </c>
      <c r="C48" s="11"/>
      <c r="D48" s="469" t="s">
        <v>539</v>
      </c>
      <c r="H48" s="9"/>
      <c r="I48"/>
    </row>
    <row r="49" spans="1:9" x14ac:dyDescent="0.3">
      <c r="A49" s="461" t="s">
        <v>477</v>
      </c>
      <c r="B49" s="459" t="s">
        <v>491</v>
      </c>
      <c r="C49" s="11"/>
      <c r="D49" s="469" t="s">
        <v>540</v>
      </c>
      <c r="H49" s="9"/>
      <c r="I49"/>
    </row>
    <row r="50" spans="1:9" x14ac:dyDescent="0.3">
      <c r="A50" s="458" t="s">
        <v>520</v>
      </c>
      <c r="B50" s="459" t="s">
        <v>492</v>
      </c>
      <c r="C50" s="11"/>
      <c r="D50" s="469" t="s">
        <v>541</v>
      </c>
      <c r="H50" s="9"/>
      <c r="I50"/>
    </row>
    <row r="51" spans="1:9" x14ac:dyDescent="0.3">
      <c r="A51" s="458" t="s">
        <v>521</v>
      </c>
      <c r="B51" s="459" t="s">
        <v>493</v>
      </c>
      <c r="C51" s="11"/>
      <c r="D51" s="469" t="s">
        <v>542</v>
      </c>
      <c r="H51" s="9"/>
      <c r="I51"/>
    </row>
    <row r="52" spans="1:9" ht="37.5" x14ac:dyDescent="0.3">
      <c r="A52" s="458" t="s">
        <v>522</v>
      </c>
      <c r="B52" s="459" t="s">
        <v>494</v>
      </c>
      <c r="C52" s="11"/>
      <c r="D52" s="469" t="s">
        <v>543</v>
      </c>
      <c r="H52" s="9"/>
      <c r="I52"/>
    </row>
    <row r="53" spans="1:9" ht="37.5" x14ac:dyDescent="0.3">
      <c r="A53" s="458" t="s">
        <v>523</v>
      </c>
      <c r="B53" s="459" t="s">
        <v>495</v>
      </c>
      <c r="C53" s="11"/>
      <c r="D53" s="469" t="s">
        <v>544</v>
      </c>
      <c r="H53" s="9"/>
      <c r="I53"/>
    </row>
    <row r="54" spans="1:9" x14ac:dyDescent="0.3">
      <c r="A54" s="458" t="s">
        <v>524</v>
      </c>
      <c r="B54" s="459" t="s">
        <v>496</v>
      </c>
      <c r="C54" s="11"/>
      <c r="D54" s="469" t="s">
        <v>545</v>
      </c>
      <c r="H54" s="9"/>
      <c r="I54"/>
    </row>
    <row r="55" spans="1:9" ht="38.25" thickBot="1" x14ac:dyDescent="0.35">
      <c r="A55" s="464" t="s">
        <v>525</v>
      </c>
      <c r="B55" s="462" t="s">
        <v>497</v>
      </c>
      <c r="C55" s="11"/>
      <c r="D55" s="469" t="s">
        <v>546</v>
      </c>
      <c r="H55" s="9"/>
      <c r="I55"/>
    </row>
    <row r="56" spans="1:9" x14ac:dyDescent="0.3">
      <c r="A56" s="465"/>
      <c r="B56" s="462" t="s">
        <v>498</v>
      </c>
      <c r="C56" s="11"/>
      <c r="D56" s="469" t="s">
        <v>547</v>
      </c>
      <c r="H56" s="9"/>
      <c r="I56"/>
    </row>
    <row r="57" spans="1:9" x14ac:dyDescent="0.3">
      <c r="A57" s="466"/>
      <c r="B57" s="462" t="s">
        <v>499</v>
      </c>
      <c r="C57" s="11"/>
      <c r="D57" s="469" t="s">
        <v>548</v>
      </c>
      <c r="H57" s="9"/>
      <c r="I57"/>
    </row>
    <row r="58" spans="1:9" x14ac:dyDescent="0.3">
      <c r="A58" s="466"/>
      <c r="B58" s="462" t="s">
        <v>500</v>
      </c>
      <c r="C58" s="11"/>
      <c r="D58" s="469" t="s">
        <v>549</v>
      </c>
      <c r="H58" s="9"/>
      <c r="I58"/>
    </row>
    <row r="59" spans="1:9" x14ac:dyDescent="0.3">
      <c r="A59" s="466"/>
      <c r="B59" s="462" t="s">
        <v>501</v>
      </c>
      <c r="C59" s="11"/>
      <c r="D59" s="469" t="s">
        <v>550</v>
      </c>
      <c r="H59" s="9"/>
      <c r="I59"/>
    </row>
    <row r="60" spans="1:9" x14ac:dyDescent="0.3">
      <c r="A60" s="466"/>
      <c r="B60" s="462" t="s">
        <v>502</v>
      </c>
      <c r="C60" s="11"/>
      <c r="D60" s="469" t="s">
        <v>551</v>
      </c>
      <c r="H60" s="9"/>
      <c r="I60"/>
    </row>
    <row r="61" spans="1:9" x14ac:dyDescent="0.3">
      <c r="A61" s="466"/>
      <c r="B61" s="462" t="s">
        <v>503</v>
      </c>
      <c r="C61" s="11"/>
      <c r="D61" s="469" t="s">
        <v>552</v>
      </c>
      <c r="H61" s="9"/>
      <c r="I61"/>
    </row>
    <row r="62" spans="1:9" x14ac:dyDescent="0.3">
      <c r="A62" s="466"/>
      <c r="B62" s="462" t="s">
        <v>504</v>
      </c>
      <c r="C62" s="11"/>
      <c r="D62" s="469" t="s">
        <v>553</v>
      </c>
      <c r="H62" s="9"/>
      <c r="I62"/>
    </row>
    <row r="63" spans="1:9" x14ac:dyDescent="0.3">
      <c r="A63" s="466"/>
      <c r="B63" s="462" t="s">
        <v>505</v>
      </c>
      <c r="C63" s="11"/>
      <c r="D63" s="469" t="s">
        <v>554</v>
      </c>
      <c r="H63" s="9"/>
      <c r="I63"/>
    </row>
    <row r="64" spans="1:9" x14ac:dyDescent="0.3">
      <c r="A64" s="466"/>
      <c r="B64" s="462" t="s">
        <v>506</v>
      </c>
      <c r="C64" s="11"/>
      <c r="D64" s="469" t="s">
        <v>555</v>
      </c>
      <c r="H64" s="9"/>
      <c r="I64"/>
    </row>
    <row r="65" spans="1:9" x14ac:dyDescent="0.3">
      <c r="A65" s="466"/>
      <c r="B65" s="462" t="s">
        <v>507</v>
      </c>
      <c r="C65" s="11"/>
      <c r="D65" s="469" t="s">
        <v>556</v>
      </c>
      <c r="H65" s="9"/>
      <c r="I65"/>
    </row>
    <row r="66" spans="1:9" ht="19.5" thickBot="1" x14ac:dyDescent="0.35">
      <c r="A66" s="466"/>
      <c r="B66" s="462" t="s">
        <v>508</v>
      </c>
      <c r="C66" s="11"/>
      <c r="D66" s="470" t="s">
        <v>557</v>
      </c>
      <c r="H66" s="9"/>
      <c r="I66"/>
    </row>
    <row r="67" spans="1:9" ht="19.5" thickBot="1" x14ac:dyDescent="0.35">
      <c r="A67" s="466"/>
      <c r="B67" s="463" t="s">
        <v>509</v>
      </c>
      <c r="C67" s="11"/>
      <c r="D67" s="12"/>
      <c r="H67" s="9"/>
      <c r="I67"/>
    </row>
    <row r="68" spans="1:9" ht="19.5" thickBot="1" x14ac:dyDescent="0.35">
      <c r="A68" s="467"/>
      <c r="C68" s="11"/>
      <c r="D68" s="12"/>
      <c r="H68" s="9"/>
      <c r="I68"/>
    </row>
    <row r="69" spans="1:9" x14ac:dyDescent="0.3">
      <c r="C69" s="11"/>
      <c r="D69" s="12"/>
      <c r="H69" s="9"/>
      <c r="I69"/>
    </row>
    <row r="70" spans="1:9" x14ac:dyDescent="0.3">
      <c r="C70" s="11"/>
      <c r="D70" s="12"/>
      <c r="H70" s="9"/>
      <c r="I70"/>
    </row>
    <row r="71" spans="1:9" x14ac:dyDescent="0.3">
      <c r="C71" s="11"/>
      <c r="D71" s="12"/>
      <c r="H71" s="9"/>
      <c r="I71"/>
    </row>
    <row r="72" spans="1:9" x14ac:dyDescent="0.3">
      <c r="C72" s="11"/>
      <c r="D72" s="12"/>
      <c r="H72" s="9"/>
      <c r="I72"/>
    </row>
    <row r="73" spans="1:9" x14ac:dyDescent="0.3">
      <c r="C73" s="11"/>
      <c r="D73" s="12"/>
      <c r="H73" s="9"/>
      <c r="I73"/>
    </row>
    <row r="74" spans="1:9" x14ac:dyDescent="0.3">
      <c r="C74" s="11"/>
      <c r="D74" s="12"/>
      <c r="H74" s="9"/>
      <c r="I74"/>
    </row>
    <row r="75" spans="1:9" x14ac:dyDescent="0.3">
      <c r="C75" s="11"/>
      <c r="D75" s="12"/>
      <c r="H75" s="9"/>
      <c r="I75"/>
    </row>
    <row r="76" spans="1:9" x14ac:dyDescent="0.3">
      <c r="C76" s="11"/>
      <c r="D76" s="12"/>
      <c r="H76" s="9"/>
      <c r="I76"/>
    </row>
    <row r="77" spans="1:9" x14ac:dyDescent="0.3">
      <c r="C77" s="11"/>
      <c r="D77" s="12"/>
      <c r="H77" s="9"/>
      <c r="I77"/>
    </row>
    <row r="78" spans="1:9" x14ac:dyDescent="0.3">
      <c r="C78" s="11"/>
      <c r="D78" s="12"/>
      <c r="H78" s="9"/>
      <c r="I78"/>
    </row>
    <row r="79" spans="1:9" x14ac:dyDescent="0.3">
      <c r="C79" s="11"/>
      <c r="D79" s="12"/>
      <c r="H79" s="9"/>
      <c r="I79"/>
    </row>
    <row r="80" spans="1:9" x14ac:dyDescent="0.3">
      <c r="C80" s="11"/>
      <c r="D80" s="12"/>
      <c r="H80" s="9"/>
      <c r="I80"/>
    </row>
    <row r="81" spans="3:9" x14ac:dyDescent="0.3">
      <c r="C81" s="11"/>
      <c r="D81" s="12"/>
      <c r="H81" s="9"/>
      <c r="I81"/>
    </row>
    <row r="82" spans="3:9" x14ac:dyDescent="0.3">
      <c r="C82" s="11"/>
      <c r="H82" s="9"/>
      <c r="I82"/>
    </row>
    <row r="83" spans="3:9" x14ac:dyDescent="0.3">
      <c r="C83" s="11"/>
      <c r="H83" s="9"/>
      <c r="I83"/>
    </row>
    <row r="84" spans="3:9" x14ac:dyDescent="0.3">
      <c r="C84" s="11"/>
      <c r="H84" s="9"/>
      <c r="I84"/>
    </row>
    <row r="85" spans="3:9" x14ac:dyDescent="0.3">
      <c r="C85" s="11"/>
      <c r="H85" s="9"/>
      <c r="I85"/>
    </row>
  </sheetData>
  <mergeCells count="29">
    <mergeCell ref="A35:D35"/>
    <mergeCell ref="A26:B26"/>
    <mergeCell ref="D7:H7"/>
    <mergeCell ref="D10:H10"/>
    <mergeCell ref="D2:H2"/>
    <mergeCell ref="D5:H5"/>
    <mergeCell ref="D6:H6"/>
    <mergeCell ref="D3:H3"/>
    <mergeCell ref="A2:B2"/>
    <mergeCell ref="A9:B9"/>
    <mergeCell ref="E19:G19"/>
    <mergeCell ref="D4:H4"/>
    <mergeCell ref="E8:H8"/>
    <mergeCell ref="E9:H9"/>
    <mergeCell ref="E12:E15"/>
    <mergeCell ref="F12:F15"/>
    <mergeCell ref="G12:G15"/>
    <mergeCell ref="A14:B14"/>
    <mergeCell ref="A19:B19"/>
    <mergeCell ref="A22:B22"/>
    <mergeCell ref="A1:B1"/>
    <mergeCell ref="D1:H1"/>
    <mergeCell ref="E18:H18"/>
    <mergeCell ref="D24:H24"/>
    <mergeCell ref="E22:H23"/>
    <mergeCell ref="E17:H17"/>
    <mergeCell ref="D16:H16"/>
    <mergeCell ref="E20:H20"/>
    <mergeCell ref="E21:H21"/>
  </mergeCells>
  <hyperlinks>
    <hyperlink ref="D19" r:id="rId1" display="Drop Out Rate"/>
    <hyperlink ref="D22:D23" r:id="rId2" display="Top Growth Industry:"/>
    <hyperlink ref="D9" r:id="rId3"/>
    <hyperlink ref="E11" r:id="rId4" display="% of Population"/>
    <hyperlink ref="D20:D21" r:id="rId5" display="Number with HS degree (of population)"/>
    <hyperlink ref="D8" r:id="rId6"/>
    <hyperlink ref="D3:H3" r:id="rId7" display="see TEGL 17-05 attachment A on the Common Measures Tab"/>
    <hyperlink ref="D22" r:id="rId8"/>
    <hyperlink ref="D23" r:id="rId9"/>
    <hyperlink ref="D17" r:id="rId10"/>
    <hyperlink ref="D18" r:id="rId11"/>
  </hyperlinks>
  <pageMargins left="0.25" right="0.25" top="0.22" bottom="0.45" header="0.3" footer="0.3"/>
  <pageSetup scale="79" orientation="landscape" r:id="rId12"/>
  <drawing r:id="rId13"/>
  <legacyDrawing r:id="rId14"/>
  <oleObjects>
    <mc:AlternateContent xmlns:mc="http://schemas.openxmlformats.org/markup-compatibility/2006">
      <mc:Choice Requires="x14">
        <oleObject progId="AcroExch.Document.7" shapeId="7170" r:id="rId15">
          <objectPr defaultSize="0" autoPict="0" r:id="rId16">
            <anchor moveWithCells="1">
              <from>
                <xdr:col>9</xdr:col>
                <xdr:colOff>285750</xdr:colOff>
                <xdr:row>0</xdr:row>
                <xdr:rowOff>28575</xdr:rowOff>
              </from>
              <to>
                <xdr:col>17</xdr:col>
                <xdr:colOff>695325</xdr:colOff>
                <xdr:row>13</xdr:row>
                <xdr:rowOff>0</xdr:rowOff>
              </to>
            </anchor>
          </objectPr>
        </oleObject>
      </mc:Choice>
      <mc:Fallback>
        <oleObject progId="AcroExch.Document.7" shapeId="7170" r:id="rId1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41"/>
  <sheetViews>
    <sheetView zoomScaleNormal="100" workbookViewId="0">
      <selection activeCell="B30" sqref="B30"/>
    </sheetView>
  </sheetViews>
  <sheetFormatPr defaultColWidth="8.796875" defaultRowHeight="12.75" x14ac:dyDescent="0.2"/>
  <cols>
    <col min="1" max="1" width="8.796875" style="376"/>
    <col min="2" max="2" width="10.59765625" style="376" bestFit="1" customWidth="1"/>
    <col min="3" max="3" width="12.59765625" style="376" customWidth="1"/>
    <col min="4" max="4" width="12.796875" style="376" customWidth="1"/>
    <col min="5" max="6" width="7.5" style="376" customWidth="1"/>
    <col min="7" max="7" width="14.59765625" style="376" customWidth="1"/>
    <col min="8" max="8" width="16.69921875" style="376" customWidth="1"/>
    <col min="9" max="10" width="11" style="376" customWidth="1"/>
    <col min="11" max="11" width="16.8984375" style="376" customWidth="1"/>
    <col min="12" max="12" width="21.3984375" style="376" customWidth="1"/>
    <col min="13" max="13" width="12.8984375" style="376" customWidth="1"/>
    <col min="14" max="14" width="16.3984375" style="376" customWidth="1"/>
    <col min="15" max="15" width="13.69921875" style="376" customWidth="1"/>
    <col min="16" max="16384" width="8.796875" style="376"/>
  </cols>
  <sheetData>
    <row r="1" spans="1:14" x14ac:dyDescent="0.2">
      <c r="B1" s="392"/>
      <c r="C1" s="392" t="s">
        <v>409</v>
      </c>
      <c r="D1" s="382"/>
      <c r="E1" s="391"/>
      <c r="F1" s="391"/>
      <c r="G1" s="391"/>
      <c r="H1" s="391"/>
      <c r="I1" s="390"/>
      <c r="J1" s="391"/>
      <c r="K1" s="390"/>
      <c r="L1" s="390"/>
    </row>
    <row r="2" spans="1:14" x14ac:dyDescent="0.2">
      <c r="B2" s="382"/>
      <c r="C2" s="403" t="s">
        <v>371</v>
      </c>
      <c r="D2" s="406" t="s">
        <v>371</v>
      </c>
      <c r="E2" s="377" t="s">
        <v>371</v>
      </c>
      <c r="F2" s="377" t="s">
        <v>371</v>
      </c>
      <c r="G2" s="376" t="s">
        <v>373</v>
      </c>
      <c r="H2" s="376" t="s">
        <v>374</v>
      </c>
      <c r="I2" s="411"/>
    </row>
    <row r="3" spans="1:14" x14ac:dyDescent="0.2">
      <c r="B3" s="389" t="s">
        <v>370</v>
      </c>
      <c r="C3" s="412" t="s">
        <v>369</v>
      </c>
      <c r="D3" s="413" t="s">
        <v>406</v>
      </c>
      <c r="E3" s="388" t="s">
        <v>368</v>
      </c>
      <c r="F3" s="388" t="s">
        <v>367</v>
      </c>
      <c r="I3" s="411" t="s">
        <v>405</v>
      </c>
    </row>
    <row r="4" spans="1:14" x14ac:dyDescent="0.2">
      <c r="B4" s="384"/>
      <c r="C4" s="386"/>
      <c r="D4" s="385"/>
      <c r="E4" s="383"/>
      <c r="F4" s="383"/>
      <c r="I4" s="385"/>
    </row>
    <row r="5" spans="1:14" s="369" customFormat="1" ht="17.850000000000001" customHeight="1" x14ac:dyDescent="0.2">
      <c r="B5" s="387" t="s">
        <v>366</v>
      </c>
      <c r="C5" s="386">
        <v>2808465</v>
      </c>
      <c r="D5" s="385">
        <v>48519</v>
      </c>
      <c r="E5" s="385">
        <v>12392</v>
      </c>
      <c r="F5" s="385">
        <v>953</v>
      </c>
      <c r="G5" s="394">
        <f>F5/40</f>
        <v>23.824999999999999</v>
      </c>
      <c r="H5" s="393">
        <f>E5*2</f>
        <v>24784</v>
      </c>
      <c r="I5" s="385">
        <v>136264708132</v>
      </c>
    </row>
    <row r="6" spans="1:14" x14ac:dyDescent="0.2">
      <c r="B6" s="384"/>
      <c r="C6" s="406"/>
      <c r="D6" s="385"/>
      <c r="E6" s="383"/>
      <c r="F6" s="383"/>
      <c r="I6" s="414"/>
      <c r="J6" s="398" t="s">
        <v>0</v>
      </c>
      <c r="K6" s="399" t="s">
        <v>407</v>
      </c>
      <c r="L6" s="398" t="s">
        <v>394</v>
      </c>
      <c r="M6" s="398" t="s">
        <v>408</v>
      </c>
      <c r="N6" s="398" t="s">
        <v>398</v>
      </c>
    </row>
    <row r="7" spans="1:14" ht="12.75" customHeight="1" x14ac:dyDescent="0.2">
      <c r="A7" s="376">
        <f>VLOOKUP(B7,Lists!B44:D82,3,)</f>
        <v>8</v>
      </c>
      <c r="B7" s="376" t="s">
        <v>288</v>
      </c>
      <c r="C7" s="406">
        <v>6961</v>
      </c>
      <c r="D7" s="385">
        <v>31859</v>
      </c>
      <c r="E7" s="377">
        <v>7838</v>
      </c>
      <c r="F7" s="377">
        <v>603</v>
      </c>
      <c r="G7" s="395">
        <f>F7/40</f>
        <v>15.074999999999999</v>
      </c>
      <c r="H7" s="379">
        <f>E7*2</f>
        <v>15676</v>
      </c>
      <c r="I7" s="414">
        <v>221767252</v>
      </c>
      <c r="J7" s="398">
        <v>1</v>
      </c>
      <c r="K7" s="399">
        <f ca="1">SUMIF($A$7:$I$45,$J7,$I$7:$I$46)</f>
        <v>4517816144</v>
      </c>
      <c r="L7" s="391">
        <f t="shared" ref="L7:L18" ca="1" si="0">SUMIF($A$7:$H$45,$J7,$C$7:$C$45)</f>
        <v>110897</v>
      </c>
      <c r="M7" s="399">
        <f ca="1">K7/L7</f>
        <v>40738.849058135027</v>
      </c>
      <c r="N7" s="399">
        <f ca="1">M7/2</f>
        <v>20369.424529067514</v>
      </c>
    </row>
    <row r="8" spans="1:14" ht="12.75" customHeight="1" x14ac:dyDescent="0.2">
      <c r="A8" s="376">
        <f>VLOOKUP(B8,Lists!B45:D83,3,)</f>
        <v>10</v>
      </c>
      <c r="B8" s="376" t="s">
        <v>287</v>
      </c>
      <c r="C8" s="406">
        <v>5647</v>
      </c>
      <c r="D8" s="385">
        <v>29033</v>
      </c>
      <c r="E8" s="377">
        <v>7323</v>
      </c>
      <c r="F8" s="377">
        <v>563</v>
      </c>
      <c r="G8" s="395">
        <f t="shared" ref="G8:G46" si="1">F8/40</f>
        <v>14.074999999999999</v>
      </c>
      <c r="H8" s="379">
        <f t="shared" ref="H8:H46" si="2">E8*2</f>
        <v>14646</v>
      </c>
      <c r="I8" s="414">
        <v>163948065</v>
      </c>
      <c r="J8" s="398">
        <v>2</v>
      </c>
      <c r="K8" s="399">
        <f t="shared" ref="K8:K18" ca="1" si="3">SUMIF($A$7:$I$45,$J8,$I$7:$I$46)</f>
        <v>6264134562</v>
      </c>
      <c r="L8" s="391">
        <f t="shared" ca="1" si="0"/>
        <v>161978</v>
      </c>
      <c r="M8" s="399">
        <f t="shared" ref="M8:M19" ca="1" si="4">K8/L8</f>
        <v>38672.749151119286</v>
      </c>
      <c r="N8" s="399">
        <f t="shared" ref="N8:N19" ca="1" si="5">M8/2</f>
        <v>19336.374575559643</v>
      </c>
    </row>
    <row r="9" spans="1:14" ht="12.75" customHeight="1" x14ac:dyDescent="0.2">
      <c r="A9" s="376">
        <f>VLOOKUP(B9,Lists!B46:D84,3,)</f>
        <v>11</v>
      </c>
      <c r="B9" s="376" t="s">
        <v>286</v>
      </c>
      <c r="C9" s="406">
        <v>79967</v>
      </c>
      <c r="D9" s="385">
        <v>49458</v>
      </c>
      <c r="E9" s="377">
        <v>12462</v>
      </c>
      <c r="F9" s="377">
        <v>959</v>
      </c>
      <c r="G9" s="395">
        <f t="shared" si="1"/>
        <v>23.975000000000001</v>
      </c>
      <c r="H9" s="379">
        <f t="shared" si="2"/>
        <v>24924</v>
      </c>
      <c r="I9" s="414">
        <v>3955028456</v>
      </c>
      <c r="J9" s="398">
        <v>3</v>
      </c>
      <c r="K9" s="399">
        <f ca="1">SUMIF($A$7:$I$45,$J9,$I$7:$I$46)</f>
        <v>5250068645</v>
      </c>
      <c r="L9" s="391">
        <f t="shared" ca="1" si="0"/>
        <v>143326</v>
      </c>
      <c r="M9" s="399">
        <f t="shared" ca="1" si="4"/>
        <v>36630.260001674505</v>
      </c>
      <c r="N9" s="399">
        <f t="shared" ca="1" si="5"/>
        <v>18315.130000837253</v>
      </c>
    </row>
    <row r="10" spans="1:14" ht="12.75" customHeight="1" x14ac:dyDescent="0.2">
      <c r="A10" s="376">
        <f>VLOOKUP(B10,Lists!B47:D85,3,)</f>
        <v>8</v>
      </c>
      <c r="B10" s="376" t="s">
        <v>285</v>
      </c>
      <c r="C10" s="406">
        <v>38179</v>
      </c>
      <c r="D10" s="385">
        <v>32316</v>
      </c>
      <c r="E10" s="377">
        <v>7710</v>
      </c>
      <c r="F10" s="377">
        <v>593</v>
      </c>
      <c r="G10" s="395">
        <f t="shared" si="1"/>
        <v>14.824999999999999</v>
      </c>
      <c r="H10" s="379">
        <f t="shared" si="2"/>
        <v>15420</v>
      </c>
      <c r="I10" s="414">
        <v>1233783921</v>
      </c>
      <c r="J10" s="398">
        <v>4</v>
      </c>
      <c r="K10" s="399">
        <f t="shared" ca="1" si="3"/>
        <v>11560676801</v>
      </c>
      <c r="L10" s="391">
        <f t="shared" ca="1" si="0"/>
        <v>238961</v>
      </c>
      <c r="M10" s="399">
        <f t="shared" ca="1" si="4"/>
        <v>48378.927109444638</v>
      </c>
      <c r="N10" s="399">
        <f t="shared" ca="1" si="5"/>
        <v>24189.463554722319</v>
      </c>
    </row>
    <row r="11" spans="1:14" ht="12.75" customHeight="1" x14ac:dyDescent="0.2">
      <c r="A11" s="376">
        <f>VLOOKUP(B11,Lists!B48:D86,3,)</f>
        <v>1</v>
      </c>
      <c r="B11" s="376" t="s">
        <v>284</v>
      </c>
      <c r="C11" s="406">
        <v>21885</v>
      </c>
      <c r="D11" s="385">
        <v>33885</v>
      </c>
      <c r="E11" s="377">
        <v>8649</v>
      </c>
      <c r="F11" s="377">
        <v>665</v>
      </c>
      <c r="G11" s="395">
        <f t="shared" si="1"/>
        <v>16.625</v>
      </c>
      <c r="H11" s="379">
        <f t="shared" si="2"/>
        <v>17298</v>
      </c>
      <c r="I11" s="414">
        <v>741582448</v>
      </c>
      <c r="J11" s="398">
        <v>5</v>
      </c>
      <c r="K11" s="399">
        <f t="shared" ca="1" si="3"/>
        <v>67835126078</v>
      </c>
      <c r="L11" s="391">
        <f t="shared" ca="1" si="0"/>
        <v>1116613</v>
      </c>
      <c r="M11" s="399">
        <f t="shared" ca="1" si="4"/>
        <v>60750.793764715258</v>
      </c>
      <c r="N11" s="399">
        <f t="shared" ca="1" si="5"/>
        <v>30375.396882357629</v>
      </c>
    </row>
    <row r="12" spans="1:14" ht="12.75" customHeight="1" x14ac:dyDescent="0.2">
      <c r="A12" s="376">
        <f>VLOOKUP(B12,Lists!B49:D87,3,)</f>
        <v>7</v>
      </c>
      <c r="B12" s="376" t="s">
        <v>283</v>
      </c>
      <c r="C12" s="406">
        <v>126714</v>
      </c>
      <c r="D12" s="385">
        <v>41736</v>
      </c>
      <c r="E12" s="377">
        <v>10388</v>
      </c>
      <c r="F12" s="377">
        <v>799</v>
      </c>
      <c r="G12" s="395">
        <f t="shared" si="1"/>
        <v>19.975000000000001</v>
      </c>
      <c r="H12" s="379">
        <f t="shared" si="2"/>
        <v>20776</v>
      </c>
      <c r="I12" s="414">
        <v>5288556604</v>
      </c>
      <c r="J12" s="398">
        <v>6</v>
      </c>
      <c r="K12" s="399">
        <f t="shared" ca="1" si="3"/>
        <v>11161069778</v>
      </c>
      <c r="L12" s="391">
        <f t="shared" ca="1" si="0"/>
        <v>260954</v>
      </c>
      <c r="M12" s="399">
        <f t="shared" ca="1" si="4"/>
        <v>42770.257508986258</v>
      </c>
      <c r="N12" s="399">
        <f t="shared" ca="1" si="5"/>
        <v>21385.128754493129</v>
      </c>
    </row>
    <row r="13" spans="1:14" ht="12.75" customHeight="1" x14ac:dyDescent="0.2">
      <c r="A13" s="376">
        <f>VLOOKUP(B13,Lists!B50:D88,3,)</f>
        <v>10</v>
      </c>
      <c r="B13" s="376" t="s">
        <v>282</v>
      </c>
      <c r="C13" s="406">
        <v>1225</v>
      </c>
      <c r="D13" s="385">
        <v>34013</v>
      </c>
      <c r="E13" s="377">
        <v>8633</v>
      </c>
      <c r="F13" s="377">
        <v>664</v>
      </c>
      <c r="G13" s="395">
        <f t="shared" si="1"/>
        <v>16.600000000000001</v>
      </c>
      <c r="H13" s="379">
        <f t="shared" si="2"/>
        <v>17266</v>
      </c>
      <c r="I13" s="414">
        <v>41666321</v>
      </c>
      <c r="J13" s="398">
        <v>7</v>
      </c>
      <c r="K13" s="399">
        <f t="shared" ca="1" si="3"/>
        <v>6703493467</v>
      </c>
      <c r="L13" s="391">
        <f t="shared" ca="1" si="0"/>
        <v>162841</v>
      </c>
      <c r="M13" s="399">
        <f t="shared" ca="1" si="4"/>
        <v>41165.882468174474</v>
      </c>
      <c r="N13" s="399">
        <f t="shared" ca="1" si="5"/>
        <v>20582.941234087237</v>
      </c>
    </row>
    <row r="14" spans="1:14" ht="12.75" customHeight="1" x14ac:dyDescent="0.2">
      <c r="A14" s="376">
        <f>VLOOKUP(B14,Lists!B51:D89,3,)</f>
        <v>7</v>
      </c>
      <c r="B14" s="376" t="s">
        <v>281</v>
      </c>
      <c r="C14" s="406">
        <v>35427</v>
      </c>
      <c r="D14" s="385">
        <v>39334</v>
      </c>
      <c r="E14" s="377">
        <v>10088</v>
      </c>
      <c r="F14" s="377">
        <v>776</v>
      </c>
      <c r="G14" s="395">
        <f t="shared" si="1"/>
        <v>19.399999999999999</v>
      </c>
      <c r="H14" s="379">
        <f t="shared" si="2"/>
        <v>20176</v>
      </c>
      <c r="I14" s="414">
        <v>1393481030</v>
      </c>
      <c r="J14" s="398">
        <v>8</v>
      </c>
      <c r="K14" s="399">
        <f t="shared" ca="1" si="3"/>
        <v>3335434628</v>
      </c>
      <c r="L14" s="391">
        <f t="shared" ca="1" si="0"/>
        <v>107563</v>
      </c>
      <c r="M14" s="399">
        <f t="shared" ca="1" si="4"/>
        <v>31009.126074951422</v>
      </c>
      <c r="N14" s="399">
        <f t="shared" ca="1" si="5"/>
        <v>15504.563037475711</v>
      </c>
    </row>
    <row r="15" spans="1:14" ht="12.75" customHeight="1" x14ac:dyDescent="0.2">
      <c r="A15" s="376">
        <f>VLOOKUP(B15,Lists!B52:D90,3,)</f>
        <v>8</v>
      </c>
      <c r="B15" s="376" t="s">
        <v>280</v>
      </c>
      <c r="C15" s="406">
        <v>10823</v>
      </c>
      <c r="D15" s="385">
        <v>28912</v>
      </c>
      <c r="E15" s="377">
        <v>6856</v>
      </c>
      <c r="F15" s="377">
        <v>527</v>
      </c>
      <c r="G15" s="395">
        <f t="shared" si="1"/>
        <v>13.175000000000001</v>
      </c>
      <c r="H15" s="379">
        <f t="shared" si="2"/>
        <v>13712</v>
      </c>
      <c r="I15" s="414">
        <v>312911187</v>
      </c>
      <c r="J15" s="398">
        <v>9</v>
      </c>
      <c r="K15" s="399">
        <f t="shared" ca="1" si="3"/>
        <v>3936840025</v>
      </c>
      <c r="L15" s="391">
        <f t="shared" ca="1" si="0"/>
        <v>122071</v>
      </c>
      <c r="M15" s="399">
        <f t="shared" ca="1" si="4"/>
        <v>32250.411850480457</v>
      </c>
      <c r="N15" s="399">
        <f t="shared" ca="1" si="5"/>
        <v>16125.205925240229</v>
      </c>
    </row>
    <row r="16" spans="1:14" ht="12.75" customHeight="1" x14ac:dyDescent="0.2">
      <c r="A16" s="376">
        <f>VLOOKUP(B16,Lists!B53:D91,3,)</f>
        <v>10</v>
      </c>
      <c r="B16" s="376" t="s">
        <v>279</v>
      </c>
      <c r="C16" s="406">
        <v>1656</v>
      </c>
      <c r="D16" s="385">
        <v>33364</v>
      </c>
      <c r="E16" s="377">
        <v>8480</v>
      </c>
      <c r="F16" s="377">
        <v>652</v>
      </c>
      <c r="G16" s="395">
        <f t="shared" si="1"/>
        <v>16.3</v>
      </c>
      <c r="H16" s="379">
        <f t="shared" si="2"/>
        <v>16960</v>
      </c>
      <c r="I16" s="414">
        <v>55250825</v>
      </c>
      <c r="J16" s="398">
        <v>10</v>
      </c>
      <c r="K16" s="399">
        <f t="shared" ca="1" si="3"/>
        <v>2382218592</v>
      </c>
      <c r="L16" s="391">
        <f t="shared" ca="1" si="0"/>
        <v>68193</v>
      </c>
      <c r="M16" s="399">
        <f ca="1">K16/L16</f>
        <v>34933.476925784169</v>
      </c>
      <c r="N16" s="399">
        <f t="shared" ca="1" si="5"/>
        <v>17466.738462892084</v>
      </c>
    </row>
    <row r="17" spans="1:14" ht="12.75" customHeight="1" x14ac:dyDescent="0.2">
      <c r="A17" s="376">
        <f>VLOOKUP(B17,Lists!B54:D92,3,)</f>
        <v>11</v>
      </c>
      <c r="B17" s="376" t="s">
        <v>278</v>
      </c>
      <c r="C17" s="406">
        <v>28931</v>
      </c>
      <c r="D17" s="385">
        <v>32619</v>
      </c>
      <c r="E17" s="377">
        <v>7872</v>
      </c>
      <c r="F17" s="377">
        <v>606</v>
      </c>
      <c r="G17" s="395">
        <f t="shared" si="1"/>
        <v>15.15</v>
      </c>
      <c r="H17" s="379">
        <f t="shared" si="2"/>
        <v>15744</v>
      </c>
      <c r="I17" s="414">
        <v>943700129</v>
      </c>
      <c r="J17" s="398">
        <v>11</v>
      </c>
      <c r="K17" s="399">
        <f t="shared" ca="1" si="3"/>
        <v>4898728585</v>
      </c>
      <c r="L17" s="391">
        <f t="shared" ca="1" si="0"/>
        <v>108898</v>
      </c>
      <c r="M17" s="399">
        <f t="shared" ca="1" si="4"/>
        <v>44984.559725614796</v>
      </c>
      <c r="N17" s="399">
        <f t="shared" ca="1" si="5"/>
        <v>22492.279862807398</v>
      </c>
    </row>
    <row r="18" spans="1:14" ht="12.75" customHeight="1" x14ac:dyDescent="0.2">
      <c r="A18" s="376">
        <f>VLOOKUP(B18,Lists!B55:D93,3,)</f>
        <v>10</v>
      </c>
      <c r="B18" s="376" t="s">
        <v>277</v>
      </c>
      <c r="C18" s="406">
        <v>792</v>
      </c>
      <c r="D18" s="385">
        <v>35575</v>
      </c>
      <c r="E18" s="377">
        <v>9334</v>
      </c>
      <c r="F18" s="377">
        <v>718</v>
      </c>
      <c r="G18" s="395">
        <f t="shared" si="1"/>
        <v>17.95</v>
      </c>
      <c r="H18" s="379">
        <f t="shared" si="2"/>
        <v>18668</v>
      </c>
      <c r="I18" s="414">
        <v>28175148</v>
      </c>
      <c r="J18" s="398">
        <v>12</v>
      </c>
      <c r="K18" s="399">
        <f t="shared" ca="1" si="3"/>
        <v>7620981361</v>
      </c>
      <c r="L18" s="391">
        <f t="shared" ca="1" si="0"/>
        <v>196939</v>
      </c>
      <c r="M18" s="399">
        <f t="shared" ca="1" si="4"/>
        <v>38697.166945094672</v>
      </c>
      <c r="N18" s="399">
        <f t="shared" ca="1" si="5"/>
        <v>19348.583472547336</v>
      </c>
    </row>
    <row r="19" spans="1:14" ht="12.75" customHeight="1" x14ac:dyDescent="0.2">
      <c r="A19" s="376">
        <f>VLOOKUP(B19,Lists!B56:D94,3,)</f>
        <v>8</v>
      </c>
      <c r="B19" s="376" t="s">
        <v>276</v>
      </c>
      <c r="C19" s="406">
        <v>34271</v>
      </c>
      <c r="D19" s="385">
        <v>32899</v>
      </c>
      <c r="E19" s="377">
        <v>8077</v>
      </c>
      <c r="F19" s="377">
        <v>621</v>
      </c>
      <c r="G19" s="395">
        <f t="shared" si="1"/>
        <v>15.525</v>
      </c>
      <c r="H19" s="379">
        <f t="shared" si="2"/>
        <v>16154</v>
      </c>
      <c r="I19" s="414">
        <v>1127470855</v>
      </c>
      <c r="J19" s="398"/>
      <c r="K19" s="399">
        <f>I5</f>
        <v>136264708132</v>
      </c>
      <c r="L19" s="391">
        <f>C5</f>
        <v>2808465</v>
      </c>
      <c r="M19" s="399">
        <f t="shared" si="4"/>
        <v>48519.283000500276</v>
      </c>
      <c r="N19" s="399">
        <f t="shared" si="5"/>
        <v>24259.641500250138</v>
      </c>
    </row>
    <row r="20" spans="1:14" ht="12.75" customHeight="1" x14ac:dyDescent="0.2">
      <c r="A20" s="376">
        <f>VLOOKUP(B20,Lists!B57:D95,3,)</f>
        <v>2</v>
      </c>
      <c r="B20" s="376" t="s">
        <v>275</v>
      </c>
      <c r="C20" s="406">
        <v>22522</v>
      </c>
      <c r="D20" s="385">
        <v>33524</v>
      </c>
      <c r="E20" s="377">
        <v>8579</v>
      </c>
      <c r="F20" s="377">
        <v>660</v>
      </c>
      <c r="G20" s="395">
        <f t="shared" si="1"/>
        <v>16.5</v>
      </c>
      <c r="H20" s="379">
        <f t="shared" si="2"/>
        <v>17158</v>
      </c>
      <c r="I20" s="414">
        <v>755036716</v>
      </c>
      <c r="J20" s="398"/>
      <c r="K20" s="398"/>
      <c r="L20" s="398"/>
      <c r="M20" s="398"/>
      <c r="N20" s="398"/>
    </row>
    <row r="21" spans="1:14" ht="12.75" customHeight="1" x14ac:dyDescent="0.2">
      <c r="A21" s="376">
        <f>VLOOKUP(B21,Lists!B58:D96,3,)</f>
        <v>3</v>
      </c>
      <c r="B21" s="376" t="s">
        <v>274</v>
      </c>
      <c r="C21" s="406">
        <v>14857</v>
      </c>
      <c r="D21" s="385">
        <v>33221</v>
      </c>
      <c r="E21" s="377">
        <v>8328</v>
      </c>
      <c r="F21" s="377">
        <v>641</v>
      </c>
      <c r="G21" s="395">
        <f t="shared" si="1"/>
        <v>16.024999999999999</v>
      </c>
      <c r="H21" s="379">
        <f t="shared" si="2"/>
        <v>16656</v>
      </c>
      <c r="I21" s="414">
        <v>493561572</v>
      </c>
      <c r="J21" s="398"/>
      <c r="K21" s="398"/>
      <c r="L21" s="398"/>
      <c r="M21" s="398"/>
      <c r="N21" s="398"/>
    </row>
    <row r="22" spans="1:14" ht="12.75" customHeight="1" x14ac:dyDescent="0.2">
      <c r="A22" s="376">
        <f>VLOOKUP(B22,Lists!B59:D97,3,)</f>
        <v>1</v>
      </c>
      <c r="B22" s="376" t="s">
        <v>273</v>
      </c>
      <c r="C22" s="406">
        <v>8001</v>
      </c>
      <c r="D22" s="385">
        <v>32130</v>
      </c>
      <c r="E22" s="377">
        <v>7998</v>
      </c>
      <c r="F22" s="377">
        <v>615</v>
      </c>
      <c r="G22" s="395">
        <f t="shared" si="1"/>
        <v>15.375</v>
      </c>
      <c r="H22" s="379">
        <f t="shared" si="2"/>
        <v>15996</v>
      </c>
      <c r="I22" s="414">
        <v>257071607</v>
      </c>
      <c r="J22" s="398"/>
      <c r="K22" s="398"/>
      <c r="L22" s="398"/>
      <c r="M22" s="398"/>
      <c r="N22" s="398"/>
    </row>
    <row r="23" spans="1:14" ht="12.75" customHeight="1" x14ac:dyDescent="0.2">
      <c r="A23" s="376">
        <f>VLOOKUP(B23,Lists!B60:D98,3,)</f>
        <v>5</v>
      </c>
      <c r="B23" s="376" t="s">
        <v>272</v>
      </c>
      <c r="C23" s="406">
        <v>1116613</v>
      </c>
      <c r="D23" s="385">
        <v>60751</v>
      </c>
      <c r="E23" s="377">
        <v>16035</v>
      </c>
      <c r="F23" s="377">
        <v>1233</v>
      </c>
      <c r="G23" s="395">
        <f t="shared" si="1"/>
        <v>30.824999999999999</v>
      </c>
      <c r="H23" s="379">
        <f t="shared" si="2"/>
        <v>32070</v>
      </c>
      <c r="I23" s="414">
        <v>67835126078</v>
      </c>
      <c r="J23" s="398"/>
      <c r="K23" s="398"/>
      <c r="L23" s="398"/>
      <c r="M23" s="398"/>
      <c r="N23" s="398"/>
    </row>
    <row r="24" spans="1:14" ht="12.75" customHeight="1" x14ac:dyDescent="0.2">
      <c r="A24" s="376">
        <f>VLOOKUP(B24,Lists!B61:D99,3,)</f>
        <v>1</v>
      </c>
      <c r="B24" s="376" t="s">
        <v>271</v>
      </c>
      <c r="C24" s="406">
        <v>81011</v>
      </c>
      <c r="D24" s="385">
        <v>43441</v>
      </c>
      <c r="E24" s="377">
        <v>10672</v>
      </c>
      <c r="F24" s="377">
        <v>821</v>
      </c>
      <c r="G24" s="395">
        <f t="shared" si="1"/>
        <v>20.524999999999999</v>
      </c>
      <c r="H24" s="379">
        <f t="shared" si="2"/>
        <v>21344</v>
      </c>
      <c r="I24" s="414">
        <v>3519162089</v>
      </c>
      <c r="J24" s="398"/>
      <c r="K24" s="398"/>
      <c r="L24" s="398"/>
      <c r="M24" s="398"/>
      <c r="N24" s="398"/>
    </row>
    <row r="25" spans="1:14" ht="12.75" customHeight="1" x14ac:dyDescent="0.2">
      <c r="A25" s="376">
        <f>VLOOKUP(B25,Lists!B62:D100,3,)</f>
        <v>9</v>
      </c>
      <c r="B25" s="376" t="s">
        <v>270</v>
      </c>
      <c r="C25" s="406">
        <v>13384</v>
      </c>
      <c r="D25" s="385">
        <v>32105</v>
      </c>
      <c r="E25" s="377">
        <v>7928</v>
      </c>
      <c r="F25" s="377">
        <v>610</v>
      </c>
      <c r="G25" s="395">
        <f t="shared" si="1"/>
        <v>15.25</v>
      </c>
      <c r="H25" s="379">
        <f t="shared" si="2"/>
        <v>15856</v>
      </c>
      <c r="I25" s="414">
        <v>429686993</v>
      </c>
      <c r="J25" s="398"/>
      <c r="K25" s="398" t="s">
        <v>399</v>
      </c>
      <c r="L25" s="398" t="s">
        <v>400</v>
      </c>
      <c r="M25" s="398" t="s">
        <v>401</v>
      </c>
      <c r="N25" s="398"/>
    </row>
    <row r="26" spans="1:14" ht="12.75" customHeight="1" x14ac:dyDescent="0.2">
      <c r="A26" s="376">
        <f>VLOOKUP(B26,Lists!B63:D101,3,)</f>
        <v>9</v>
      </c>
      <c r="B26" s="376" t="s">
        <v>269</v>
      </c>
      <c r="C26" s="406">
        <v>6726</v>
      </c>
      <c r="D26" s="385">
        <v>40167</v>
      </c>
      <c r="E26" s="377">
        <v>9586</v>
      </c>
      <c r="F26" s="377">
        <v>737</v>
      </c>
      <c r="G26" s="395">
        <f t="shared" si="1"/>
        <v>18.425000000000001</v>
      </c>
      <c r="H26" s="379">
        <f t="shared" si="2"/>
        <v>19172</v>
      </c>
      <c r="I26" s="414">
        <v>270162204</v>
      </c>
      <c r="J26" s="398">
        <v>1</v>
      </c>
      <c r="K26" s="399">
        <f ca="1">L26/40</f>
        <v>21.218150551111993</v>
      </c>
      <c r="L26" s="415">
        <f ca="1">M26/4</f>
        <v>848.72602204447969</v>
      </c>
      <c r="M26" s="399">
        <f ca="1">M7/12</f>
        <v>3394.9040881779188</v>
      </c>
      <c r="N26" s="398"/>
    </row>
    <row r="27" spans="1:14" ht="12.75" customHeight="1" x14ac:dyDescent="0.2">
      <c r="A27" s="376">
        <f>VLOOKUP(B27,Lists!B64:D102,3,)</f>
        <v>2</v>
      </c>
      <c r="B27" s="376" t="s">
        <v>268</v>
      </c>
      <c r="C27" s="406">
        <v>23380</v>
      </c>
      <c r="D27" s="385">
        <v>33679</v>
      </c>
      <c r="E27" s="377">
        <v>8616</v>
      </c>
      <c r="F27" s="377">
        <v>663</v>
      </c>
      <c r="G27" s="395">
        <f t="shared" si="1"/>
        <v>16.574999999999999</v>
      </c>
      <c r="H27" s="379">
        <f t="shared" si="2"/>
        <v>17232</v>
      </c>
      <c r="I27" s="414">
        <v>787405854</v>
      </c>
      <c r="J27" s="398">
        <v>2</v>
      </c>
      <c r="K27" s="399">
        <f t="shared" ref="K27:K37" ca="1" si="6">L27/40</f>
        <v>20.142056849541294</v>
      </c>
      <c r="L27" s="415">
        <f t="shared" ref="L27:L37" ca="1" si="7">M27/4</f>
        <v>805.68227398165175</v>
      </c>
      <c r="M27" s="399">
        <f t="shared" ref="M27:M37" ca="1" si="8">M8/12</f>
        <v>3222.729095926607</v>
      </c>
      <c r="N27" s="398"/>
    </row>
    <row r="28" spans="1:14" ht="12.75" customHeight="1" x14ac:dyDescent="0.2">
      <c r="A28" s="376">
        <f>VLOOKUP(B28,Lists!B65:D103,3,)</f>
        <v>10</v>
      </c>
      <c r="B28" s="376" t="s">
        <v>267</v>
      </c>
      <c r="C28" s="406">
        <v>2910</v>
      </c>
      <c r="D28" s="385">
        <v>30862</v>
      </c>
      <c r="E28" s="377">
        <v>7644</v>
      </c>
      <c r="F28" s="377">
        <v>588</v>
      </c>
      <c r="G28" s="395">
        <f t="shared" si="1"/>
        <v>14.7</v>
      </c>
      <c r="H28" s="379">
        <f t="shared" si="2"/>
        <v>15288</v>
      </c>
      <c r="I28" s="414">
        <v>89808896</v>
      </c>
      <c r="J28" s="398">
        <v>3</v>
      </c>
      <c r="K28" s="399">
        <f t="shared" ca="1" si="6"/>
        <v>19.078260417538807</v>
      </c>
      <c r="L28" s="415">
        <f t="shared" ca="1" si="7"/>
        <v>763.13041670155224</v>
      </c>
      <c r="M28" s="399">
        <f t="shared" ca="1" si="8"/>
        <v>3052.5216668062089</v>
      </c>
      <c r="N28" s="398"/>
    </row>
    <row r="29" spans="1:14" ht="12.75" customHeight="1" x14ac:dyDescent="0.2">
      <c r="A29" s="376">
        <f>VLOOKUP(B29,Lists!B66:D104,3,)</f>
        <v>2</v>
      </c>
      <c r="B29" s="376" t="s">
        <v>266</v>
      </c>
      <c r="C29" s="406">
        <v>13428</v>
      </c>
      <c r="D29" s="385">
        <v>33341</v>
      </c>
      <c r="E29" s="377">
        <v>8447</v>
      </c>
      <c r="F29" s="377">
        <v>650</v>
      </c>
      <c r="G29" s="395">
        <f t="shared" si="1"/>
        <v>16.25</v>
      </c>
      <c r="H29" s="379">
        <f t="shared" si="2"/>
        <v>16894</v>
      </c>
      <c r="I29" s="414">
        <v>447709442</v>
      </c>
      <c r="J29" s="398">
        <v>4</v>
      </c>
      <c r="K29" s="399">
        <f t="shared" ca="1" si="6"/>
        <v>25.197357869502415</v>
      </c>
      <c r="L29" s="415">
        <f t="shared" ca="1" si="7"/>
        <v>1007.8943147800966</v>
      </c>
      <c r="M29" s="399">
        <f t="shared" ca="1" si="8"/>
        <v>4031.5772591203863</v>
      </c>
      <c r="N29" s="398"/>
    </row>
    <row r="30" spans="1:14" ht="12.75" customHeight="1" x14ac:dyDescent="0.2">
      <c r="A30" s="376">
        <f>VLOOKUP(B30,Lists!B67:D105,3,)</f>
        <v>8</v>
      </c>
      <c r="B30" s="376" t="s">
        <v>265</v>
      </c>
      <c r="C30" s="406">
        <v>17329</v>
      </c>
      <c r="D30" s="385">
        <v>25362</v>
      </c>
      <c r="E30" s="377">
        <v>5915</v>
      </c>
      <c r="F30" s="377">
        <v>455</v>
      </c>
      <c r="G30" s="395">
        <f t="shared" si="1"/>
        <v>11.375</v>
      </c>
      <c r="H30" s="379">
        <f t="shared" si="2"/>
        <v>11830</v>
      </c>
      <c r="I30" s="414">
        <v>439501413</v>
      </c>
      <c r="J30" s="398">
        <v>5</v>
      </c>
      <c r="K30" s="399">
        <f t="shared" ca="1" si="6"/>
        <v>31.64103841912253</v>
      </c>
      <c r="L30" s="415">
        <f t="shared" ca="1" si="7"/>
        <v>1265.6415367649013</v>
      </c>
      <c r="M30" s="399">
        <f t="shared" ca="1" si="8"/>
        <v>5062.5661470596051</v>
      </c>
      <c r="N30" s="398"/>
    </row>
    <row r="31" spans="1:14" ht="12.75" customHeight="1" x14ac:dyDescent="0.2">
      <c r="A31" s="376">
        <f>VLOOKUP(B31,Lists!B68:D106,3,)</f>
        <v>2</v>
      </c>
      <c r="B31" s="376" t="s">
        <v>264</v>
      </c>
      <c r="C31" s="406">
        <v>5908</v>
      </c>
      <c r="D31" s="385">
        <v>29296</v>
      </c>
      <c r="E31" s="377">
        <v>7312</v>
      </c>
      <c r="F31" s="377">
        <v>562</v>
      </c>
      <c r="G31" s="395">
        <f t="shared" si="1"/>
        <v>14.05</v>
      </c>
      <c r="H31" s="379">
        <f t="shared" si="2"/>
        <v>14624</v>
      </c>
      <c r="I31" s="414">
        <v>173082727</v>
      </c>
      <c r="J31" s="398">
        <v>6</v>
      </c>
      <c r="K31" s="399">
        <f t="shared" ca="1" si="6"/>
        <v>22.276175785930342</v>
      </c>
      <c r="L31" s="415">
        <f t="shared" ca="1" si="7"/>
        <v>891.04703143721372</v>
      </c>
      <c r="M31" s="399">
        <f t="shared" ca="1" si="8"/>
        <v>3564.1881257488549</v>
      </c>
      <c r="N31" s="398"/>
    </row>
    <row r="32" spans="1:14" ht="12.75" customHeight="1" x14ac:dyDescent="0.2">
      <c r="A32" s="376">
        <f>VLOOKUP(B32,Lists!B69:D107,3,)</f>
        <v>10</v>
      </c>
      <c r="B32" s="376" t="s">
        <v>263</v>
      </c>
      <c r="C32" s="406">
        <v>2973</v>
      </c>
      <c r="D32" s="385">
        <v>37157</v>
      </c>
      <c r="E32" s="377">
        <v>9248</v>
      </c>
      <c r="F32" s="377">
        <v>711</v>
      </c>
      <c r="G32" s="395">
        <f t="shared" si="1"/>
        <v>17.774999999999999</v>
      </c>
      <c r="H32" s="379">
        <f t="shared" si="2"/>
        <v>18496</v>
      </c>
      <c r="I32" s="414">
        <v>110467355</v>
      </c>
      <c r="J32" s="398">
        <v>7</v>
      </c>
      <c r="K32" s="399">
        <f t="shared" ca="1" si="6"/>
        <v>21.440563785507539</v>
      </c>
      <c r="L32" s="415">
        <f t="shared" ca="1" si="7"/>
        <v>857.62255142030153</v>
      </c>
      <c r="M32" s="399">
        <f t="shared" ca="1" si="8"/>
        <v>3430.4902056812061</v>
      </c>
      <c r="N32" s="398"/>
    </row>
    <row r="33" spans="1:18" ht="12.75" customHeight="1" x14ac:dyDescent="0.2">
      <c r="A33" s="376">
        <f>VLOOKUP(B33,Lists!B70:D108,3,)</f>
        <v>6</v>
      </c>
      <c r="B33" s="376" t="s">
        <v>262</v>
      </c>
      <c r="C33" s="406">
        <v>260954</v>
      </c>
      <c r="D33" s="385">
        <v>42770</v>
      </c>
      <c r="E33" s="377">
        <v>10678</v>
      </c>
      <c r="F33" s="377">
        <v>821</v>
      </c>
      <c r="G33" s="395">
        <f t="shared" si="1"/>
        <v>20.524999999999999</v>
      </c>
      <c r="H33" s="379">
        <f t="shared" si="2"/>
        <v>21356</v>
      </c>
      <c r="I33" s="414">
        <v>11161069778</v>
      </c>
      <c r="J33" s="398">
        <v>8</v>
      </c>
      <c r="K33" s="399">
        <f t="shared" ca="1" si="6"/>
        <v>16.150586497370533</v>
      </c>
      <c r="L33" s="415">
        <f t="shared" ca="1" si="7"/>
        <v>646.02345989482126</v>
      </c>
      <c r="M33" s="399">
        <f t="shared" ca="1" si="8"/>
        <v>2584.093839579285</v>
      </c>
      <c r="N33" s="398"/>
    </row>
    <row r="34" spans="1:18" ht="12.75" customHeight="1" x14ac:dyDescent="0.2">
      <c r="A34" s="376">
        <f>VLOOKUP(B34,Lists!B71:D109,3,)</f>
        <v>3</v>
      </c>
      <c r="B34" s="376" t="s">
        <v>261</v>
      </c>
      <c r="C34" s="406">
        <v>5181</v>
      </c>
      <c r="D34" s="385">
        <v>31173</v>
      </c>
      <c r="E34" s="377">
        <v>7595</v>
      </c>
      <c r="F34" s="377">
        <v>584</v>
      </c>
      <c r="G34" s="395">
        <f t="shared" si="1"/>
        <v>14.6</v>
      </c>
      <c r="H34" s="379">
        <f t="shared" si="2"/>
        <v>15190</v>
      </c>
      <c r="I34" s="414">
        <v>161508363</v>
      </c>
      <c r="J34" s="398">
        <v>9</v>
      </c>
      <c r="K34" s="399">
        <f t="shared" ca="1" si="6"/>
        <v>16.797089505458572</v>
      </c>
      <c r="L34" s="415">
        <f t="shared" ca="1" si="7"/>
        <v>671.8835802183429</v>
      </c>
      <c r="M34" s="399">
        <f t="shared" ca="1" si="8"/>
        <v>2687.5343208733716</v>
      </c>
      <c r="N34" s="398"/>
    </row>
    <row r="35" spans="1:18" ht="12.75" customHeight="1" x14ac:dyDescent="0.2">
      <c r="A35" s="376">
        <f>VLOOKUP(B35,Lists!B72:D110,3,)</f>
        <v>3</v>
      </c>
      <c r="B35" s="376" t="s">
        <v>260</v>
      </c>
      <c r="C35" s="406">
        <v>45509</v>
      </c>
      <c r="D35" s="385">
        <v>37199</v>
      </c>
      <c r="E35" s="377">
        <v>9358</v>
      </c>
      <c r="F35" s="377">
        <v>720</v>
      </c>
      <c r="G35" s="395">
        <f t="shared" si="1"/>
        <v>18</v>
      </c>
      <c r="H35" s="379">
        <f t="shared" si="2"/>
        <v>18716</v>
      </c>
      <c r="I35" s="414">
        <v>1692885366</v>
      </c>
      <c r="J35" s="398">
        <v>10</v>
      </c>
      <c r="K35" s="399">
        <f t="shared" ca="1" si="6"/>
        <v>18.194519232179253</v>
      </c>
      <c r="L35" s="415">
        <f t="shared" ca="1" si="7"/>
        <v>727.78076928717019</v>
      </c>
      <c r="M35" s="399">
        <f t="shared" ca="1" si="8"/>
        <v>2911.1230771486807</v>
      </c>
      <c r="N35" s="398"/>
    </row>
    <row r="36" spans="1:18" ht="12.75" customHeight="1" x14ac:dyDescent="0.2">
      <c r="A36" s="376">
        <f>VLOOKUP(B36,Lists!B73:D111,3,)</f>
        <v>9</v>
      </c>
      <c r="B36" s="376" t="s">
        <v>259</v>
      </c>
      <c r="C36" s="406">
        <v>2008</v>
      </c>
      <c r="D36" s="385">
        <v>31775</v>
      </c>
      <c r="E36" s="377">
        <v>7948</v>
      </c>
      <c r="F36" s="377">
        <v>611</v>
      </c>
      <c r="G36" s="395">
        <f t="shared" si="1"/>
        <v>15.275</v>
      </c>
      <c r="H36" s="379">
        <f t="shared" si="2"/>
        <v>15896</v>
      </c>
      <c r="I36" s="414">
        <v>63803560</v>
      </c>
      <c r="J36" s="398">
        <v>11</v>
      </c>
      <c r="K36" s="399">
        <f t="shared" ca="1" si="6"/>
        <v>23.429458190424373</v>
      </c>
      <c r="L36" s="415">
        <f t="shared" ca="1" si="7"/>
        <v>937.17832761697491</v>
      </c>
      <c r="M36" s="399">
        <f t="shared" ca="1" si="8"/>
        <v>3748.7133104678996</v>
      </c>
      <c r="N36" s="398"/>
    </row>
    <row r="37" spans="1:18" ht="12.75" customHeight="1" x14ac:dyDescent="0.2">
      <c r="A37" s="376">
        <f>VLOOKUP(B37,Lists!B74:D112,3,)</f>
        <v>4</v>
      </c>
      <c r="B37" s="376" t="s">
        <v>258</v>
      </c>
      <c r="C37" s="406">
        <v>238961</v>
      </c>
      <c r="D37" s="385">
        <v>48379</v>
      </c>
      <c r="E37" s="377">
        <v>12179</v>
      </c>
      <c r="F37" s="377">
        <v>937</v>
      </c>
      <c r="G37" s="395">
        <f t="shared" si="1"/>
        <v>23.425000000000001</v>
      </c>
      <c r="H37" s="379">
        <f t="shared" si="2"/>
        <v>24358</v>
      </c>
      <c r="I37" s="414">
        <v>11560676801</v>
      </c>
      <c r="J37" s="398">
        <v>12</v>
      </c>
      <c r="K37" s="399">
        <f t="shared" ca="1" si="6"/>
        <v>20.154774450570141</v>
      </c>
      <c r="L37" s="415">
        <f t="shared" ca="1" si="7"/>
        <v>806.19097802280567</v>
      </c>
      <c r="M37" s="399">
        <f t="shared" ca="1" si="8"/>
        <v>3224.7639120912227</v>
      </c>
      <c r="N37" s="398"/>
    </row>
    <row r="38" spans="1:18" ht="12.75" customHeight="1" x14ac:dyDescent="0.2">
      <c r="A38" s="376">
        <f>VLOOKUP(B38,Lists!B75:D113,3,)</f>
        <v>12</v>
      </c>
      <c r="B38" s="376" t="s">
        <v>257</v>
      </c>
      <c r="C38" s="406">
        <v>196939</v>
      </c>
      <c r="D38" s="385">
        <v>38697</v>
      </c>
      <c r="E38" s="377">
        <v>9578</v>
      </c>
      <c r="F38" s="377">
        <v>737</v>
      </c>
      <c r="G38" s="395">
        <f t="shared" si="1"/>
        <v>18.425000000000001</v>
      </c>
      <c r="H38" s="379">
        <f t="shared" si="2"/>
        <v>19156</v>
      </c>
      <c r="I38" s="414">
        <v>7620981361</v>
      </c>
      <c r="J38" s="398">
        <v>13</v>
      </c>
      <c r="K38" s="399">
        <f>L38/40</f>
        <v>25.270459896093893</v>
      </c>
      <c r="L38" s="415">
        <f>M38/4</f>
        <v>1010.8183958437558</v>
      </c>
      <c r="M38" s="399">
        <f>M19/12</f>
        <v>4043.273583375023</v>
      </c>
    </row>
    <row r="39" spans="1:18" ht="12.75" customHeight="1" x14ac:dyDescent="0.2">
      <c r="A39" s="376">
        <f>VLOOKUP(B39,Lists!B76:D114,3,)</f>
        <v>10</v>
      </c>
      <c r="B39" s="376" t="s">
        <v>256</v>
      </c>
      <c r="C39" s="406">
        <v>9749</v>
      </c>
      <c r="D39" s="385">
        <v>31632</v>
      </c>
      <c r="E39" s="377">
        <v>8000</v>
      </c>
      <c r="F39" s="377">
        <v>615</v>
      </c>
      <c r="G39" s="395">
        <f t="shared" si="1"/>
        <v>15.375</v>
      </c>
      <c r="H39" s="379">
        <f t="shared" si="2"/>
        <v>16000</v>
      </c>
      <c r="I39" s="414">
        <v>308378108</v>
      </c>
    </row>
    <row r="40" spans="1:18" ht="12.75" customHeight="1" x14ac:dyDescent="0.2">
      <c r="A40" s="376">
        <f>VLOOKUP(B40,Lists!B77:D115,3,)</f>
        <v>2</v>
      </c>
      <c r="B40" s="376" t="s">
        <v>255</v>
      </c>
      <c r="C40" s="406">
        <v>96740</v>
      </c>
      <c r="D40" s="385">
        <v>42391</v>
      </c>
      <c r="E40" s="377">
        <v>10563</v>
      </c>
      <c r="F40" s="377">
        <v>813</v>
      </c>
      <c r="G40" s="395">
        <f t="shared" si="1"/>
        <v>20.324999999999999</v>
      </c>
      <c r="H40" s="379">
        <f t="shared" si="2"/>
        <v>21126</v>
      </c>
      <c r="I40" s="414">
        <v>4100899823</v>
      </c>
    </row>
    <row r="41" spans="1:18" ht="12.75" customHeight="1" x14ac:dyDescent="0.2">
      <c r="A41" s="376">
        <f>VLOOKUP(B41,Lists!B78:D116,3,)</f>
        <v>7</v>
      </c>
      <c r="B41" s="376" t="s">
        <v>254</v>
      </c>
      <c r="C41" s="406">
        <v>700</v>
      </c>
      <c r="D41" s="385">
        <v>30651</v>
      </c>
      <c r="E41" s="377">
        <v>7543</v>
      </c>
      <c r="F41" s="377">
        <v>580</v>
      </c>
      <c r="G41" s="395">
        <f t="shared" si="1"/>
        <v>14.5</v>
      </c>
      <c r="H41" s="379">
        <f t="shared" si="2"/>
        <v>15086</v>
      </c>
      <c r="I41" s="414">
        <v>21455833</v>
      </c>
    </row>
    <row r="42" spans="1:18" ht="12.75" customHeight="1" x14ac:dyDescent="0.2">
      <c r="A42" s="376">
        <f>VLOOKUP(B42,Lists!B79:D117,3,)</f>
        <v>10</v>
      </c>
      <c r="B42" s="376" t="s">
        <v>253</v>
      </c>
      <c r="C42" s="406">
        <v>26631</v>
      </c>
      <c r="D42" s="385">
        <v>35813</v>
      </c>
      <c r="E42" s="377">
        <v>8875</v>
      </c>
      <c r="F42" s="377">
        <v>683</v>
      </c>
      <c r="G42" s="395">
        <f t="shared" si="1"/>
        <v>17.074999999999999</v>
      </c>
      <c r="H42" s="379">
        <f t="shared" si="2"/>
        <v>17750</v>
      </c>
      <c r="I42" s="414">
        <v>953741961</v>
      </c>
    </row>
    <row r="43" spans="1:18" ht="12.75" customHeight="1" x14ac:dyDescent="0.2">
      <c r="A43" s="376">
        <f>VLOOKUP(B43,Lists!B80:D118,3,)</f>
        <v>3</v>
      </c>
      <c r="B43" s="376" t="s">
        <v>252</v>
      </c>
      <c r="C43" s="406">
        <v>77779</v>
      </c>
      <c r="D43" s="385">
        <v>37312</v>
      </c>
      <c r="E43" s="377">
        <v>9219</v>
      </c>
      <c r="F43" s="377">
        <v>709</v>
      </c>
      <c r="G43" s="395">
        <f t="shared" si="1"/>
        <v>17.725000000000001</v>
      </c>
      <c r="H43" s="379">
        <f t="shared" si="2"/>
        <v>18438</v>
      </c>
      <c r="I43" s="414">
        <v>2902113344</v>
      </c>
    </row>
    <row r="44" spans="1:18" ht="12.75" customHeight="1" x14ac:dyDescent="0.2">
      <c r="A44" s="376">
        <f>VLOOKUP(B44,Lists!B81:D119,3,)</f>
        <v>10</v>
      </c>
      <c r="B44" s="376" t="s">
        <v>251</v>
      </c>
      <c r="C44" s="406">
        <v>16610</v>
      </c>
      <c r="D44" s="385">
        <v>37976</v>
      </c>
      <c r="E44" s="377">
        <v>9282</v>
      </c>
      <c r="F44" s="377">
        <v>714</v>
      </c>
      <c r="G44" s="395">
        <f t="shared" si="1"/>
        <v>17.850000000000001</v>
      </c>
      <c r="H44" s="379">
        <f t="shared" si="2"/>
        <v>18564</v>
      </c>
      <c r="I44" s="414">
        <v>630781913</v>
      </c>
    </row>
    <row r="45" spans="1:18" ht="12.75" customHeight="1" x14ac:dyDescent="0.2">
      <c r="A45" s="376">
        <f>VLOOKUP(B45,Lists!B82:D120,3,)</f>
        <v>9</v>
      </c>
      <c r="B45" s="376" t="s">
        <v>250</v>
      </c>
      <c r="C45" s="406">
        <v>99953</v>
      </c>
      <c r="D45" s="385">
        <v>31747</v>
      </c>
      <c r="E45" s="377">
        <v>7788</v>
      </c>
      <c r="F45" s="377">
        <v>599</v>
      </c>
      <c r="G45" s="395">
        <f t="shared" si="1"/>
        <v>14.975</v>
      </c>
      <c r="H45" s="379">
        <f t="shared" si="2"/>
        <v>15576</v>
      </c>
      <c r="I45" s="414">
        <v>3173187268</v>
      </c>
      <c r="J45" s="398"/>
      <c r="K45" s="399"/>
      <c r="L45" s="399"/>
      <c r="M45" s="399"/>
      <c r="N45" s="399"/>
    </row>
    <row r="46" spans="1:18" ht="12.75" customHeight="1" x14ac:dyDescent="0.2">
      <c r="A46" s="376" t="e">
        <f>VLOOKUP(B46,Lists!B83:D121,3,)</f>
        <v>#N/A</v>
      </c>
      <c r="B46" s="376" t="s">
        <v>372</v>
      </c>
      <c r="C46" s="406">
        <v>9323</v>
      </c>
      <c r="D46" s="385">
        <v>86954</v>
      </c>
      <c r="E46" s="377">
        <v>20339</v>
      </c>
      <c r="F46" s="377">
        <v>1565</v>
      </c>
      <c r="G46" s="395">
        <f t="shared" si="1"/>
        <v>39.125</v>
      </c>
      <c r="H46" s="379">
        <f t="shared" si="2"/>
        <v>40678</v>
      </c>
      <c r="I46" s="414">
        <v>810671287</v>
      </c>
      <c r="J46" s="398"/>
      <c r="K46" s="399"/>
      <c r="L46" s="399"/>
      <c r="M46" s="399"/>
      <c r="N46" s="399"/>
    </row>
    <row r="47" spans="1:18" ht="12.75" customHeight="1" x14ac:dyDescent="0.2">
      <c r="N47" s="398"/>
      <c r="O47" s="399"/>
      <c r="P47" s="399"/>
      <c r="Q47" s="399"/>
      <c r="R47" s="399"/>
    </row>
    <row r="48" spans="1:18" ht="12.75" customHeight="1" x14ac:dyDescent="0.2">
      <c r="N48" s="398"/>
      <c r="O48" s="399"/>
      <c r="P48" s="399"/>
      <c r="Q48" s="399"/>
      <c r="R48" s="399"/>
    </row>
    <row r="49" spans="2:18" x14ac:dyDescent="0.2">
      <c r="B49" s="382" t="s">
        <v>365</v>
      </c>
      <c r="C49" s="381"/>
      <c r="D49" s="381"/>
      <c r="E49" s="380"/>
      <c r="F49" s="378"/>
      <c r="G49" s="378"/>
      <c r="H49" s="378"/>
      <c r="I49" s="378"/>
      <c r="J49" s="379"/>
      <c r="K49" s="378"/>
      <c r="L49" s="377"/>
      <c r="M49" s="377"/>
      <c r="N49" s="398"/>
      <c r="O49" s="399"/>
      <c r="P49" s="399"/>
      <c r="Q49" s="399"/>
      <c r="R49" s="399"/>
    </row>
    <row r="50" spans="2:18" ht="12.75" customHeight="1" x14ac:dyDescent="0.2">
      <c r="N50" s="398"/>
      <c r="O50" s="399"/>
      <c r="P50" s="399"/>
      <c r="Q50" s="399"/>
      <c r="R50" s="399"/>
    </row>
    <row r="51" spans="2:18" ht="12.75" customHeight="1" x14ac:dyDescent="0.2">
      <c r="N51" s="398"/>
      <c r="O51" s="399"/>
      <c r="P51" s="399"/>
      <c r="Q51" s="399"/>
      <c r="R51" s="399"/>
    </row>
    <row r="52" spans="2:18" ht="12.75" customHeight="1" x14ac:dyDescent="0.2">
      <c r="N52" s="398"/>
      <c r="O52" s="399"/>
      <c r="P52" s="399"/>
      <c r="Q52" s="399"/>
      <c r="R52" s="399"/>
    </row>
    <row r="53" spans="2:18" ht="12.75" customHeight="1" x14ac:dyDescent="0.2">
      <c r="N53" s="398"/>
      <c r="O53" s="399"/>
      <c r="P53" s="399"/>
      <c r="Q53" s="399"/>
      <c r="R53" s="399"/>
    </row>
    <row r="54" spans="2:18" ht="12.75" customHeight="1" x14ac:dyDescent="0.2">
      <c r="N54" s="398"/>
      <c r="O54" s="399"/>
      <c r="P54" s="399"/>
      <c r="Q54" s="399"/>
      <c r="R54" s="399"/>
    </row>
    <row r="55" spans="2:18" ht="12.75" customHeight="1" x14ac:dyDescent="0.2">
      <c r="N55" s="398"/>
      <c r="O55" s="399"/>
      <c r="P55" s="399"/>
      <c r="Q55" s="399"/>
      <c r="R55" s="399"/>
    </row>
    <row r="56" spans="2:18" ht="12.75" customHeight="1" x14ac:dyDescent="0.2">
      <c r="N56" s="398"/>
      <c r="O56" s="398"/>
      <c r="P56" s="398"/>
      <c r="Q56" s="398"/>
      <c r="R56" s="398"/>
    </row>
    <row r="57" spans="2:18" ht="12.75" customHeight="1" x14ac:dyDescent="0.2">
      <c r="N57" s="398"/>
      <c r="O57" s="398"/>
      <c r="P57" s="398"/>
      <c r="Q57" s="398"/>
      <c r="R57" s="398"/>
    </row>
    <row r="58" spans="2:18" ht="12.75" customHeight="1" x14ac:dyDescent="0.2">
      <c r="N58" s="398"/>
      <c r="O58" s="398"/>
      <c r="P58" s="398"/>
      <c r="Q58" s="398"/>
      <c r="R58" s="398"/>
    </row>
    <row r="59" spans="2:18" ht="12.75" customHeight="1" x14ac:dyDescent="0.2">
      <c r="N59" s="398"/>
      <c r="O59" s="398"/>
      <c r="P59" s="398"/>
      <c r="Q59" s="398"/>
      <c r="R59" s="398"/>
    </row>
    <row r="60" spans="2:18" ht="12.75" customHeight="1" x14ac:dyDescent="0.2">
      <c r="N60" s="398"/>
      <c r="O60" s="398"/>
      <c r="P60" s="398"/>
      <c r="Q60" s="398"/>
      <c r="R60" s="398"/>
    </row>
    <row r="61" spans="2:18" ht="12.75" customHeight="1" x14ac:dyDescent="0.2">
      <c r="N61" s="398"/>
      <c r="O61" s="398" t="s">
        <v>399</v>
      </c>
      <c r="P61" s="398" t="s">
        <v>400</v>
      </c>
      <c r="Q61" s="398" t="s">
        <v>401</v>
      </c>
      <c r="R61" s="398"/>
    </row>
    <row r="62" spans="2:18" ht="12.75" customHeight="1" x14ac:dyDescent="0.2">
      <c r="N62" s="398">
        <v>1</v>
      </c>
      <c r="O62" s="399">
        <f>P62/40</f>
        <v>0</v>
      </c>
      <c r="P62" s="400">
        <f>Q62/4</f>
        <v>0</v>
      </c>
      <c r="Q62" s="399">
        <f>M43/3</f>
        <v>0</v>
      </c>
      <c r="R62" s="398"/>
    </row>
    <row r="63" spans="2:18" ht="12.75" customHeight="1" x14ac:dyDescent="0.2">
      <c r="N63" s="398">
        <v>2</v>
      </c>
      <c r="O63" s="399">
        <f t="shared" ref="O63:O73" si="9">P63/40</f>
        <v>0</v>
      </c>
      <c r="P63" s="400">
        <f t="shared" ref="P63:P73" si="10">Q63/4</f>
        <v>0</v>
      </c>
      <c r="Q63" s="399">
        <f>M44/3</f>
        <v>0</v>
      </c>
      <c r="R63" s="398"/>
    </row>
    <row r="64" spans="2:18" ht="12.75" customHeight="1" x14ac:dyDescent="0.2">
      <c r="N64" s="398">
        <v>3</v>
      </c>
      <c r="O64" s="399">
        <f t="shared" si="9"/>
        <v>0</v>
      </c>
      <c r="P64" s="400">
        <f t="shared" si="10"/>
        <v>0</v>
      </c>
      <c r="Q64" s="399">
        <f>M45/3</f>
        <v>0</v>
      </c>
      <c r="R64" s="398"/>
    </row>
    <row r="65" spans="1:20" ht="12.75" customHeight="1" x14ac:dyDescent="0.2">
      <c r="N65" s="398">
        <v>4</v>
      </c>
      <c r="O65" s="399">
        <f t="shared" si="9"/>
        <v>0</v>
      </c>
      <c r="P65" s="400">
        <f t="shared" si="10"/>
        <v>0</v>
      </c>
      <c r="Q65" s="399">
        <f>M46/3</f>
        <v>0</v>
      </c>
      <c r="R65" s="398"/>
    </row>
    <row r="66" spans="1:20" ht="12.75" customHeight="1" x14ac:dyDescent="0.2">
      <c r="N66" s="398">
        <v>5</v>
      </c>
      <c r="O66" s="399">
        <f t="shared" si="9"/>
        <v>0</v>
      </c>
      <c r="P66" s="400">
        <f t="shared" si="10"/>
        <v>0</v>
      </c>
      <c r="Q66" s="399">
        <f t="shared" ref="Q66:Q73" si="11">Q47/3</f>
        <v>0</v>
      </c>
      <c r="R66" s="398"/>
    </row>
    <row r="67" spans="1:20" ht="12.75" customHeight="1" x14ac:dyDescent="0.2">
      <c r="N67" s="398">
        <v>6</v>
      </c>
      <c r="O67" s="399">
        <f t="shared" si="9"/>
        <v>0</v>
      </c>
      <c r="P67" s="400">
        <f t="shared" si="10"/>
        <v>0</v>
      </c>
      <c r="Q67" s="399">
        <f t="shared" si="11"/>
        <v>0</v>
      </c>
      <c r="R67" s="398"/>
    </row>
    <row r="68" spans="1:20" ht="12.75" customHeight="1" x14ac:dyDescent="0.2">
      <c r="N68" s="398">
        <v>7</v>
      </c>
      <c r="O68" s="399">
        <f t="shared" si="9"/>
        <v>0</v>
      </c>
      <c r="P68" s="400">
        <f t="shared" si="10"/>
        <v>0</v>
      </c>
      <c r="Q68" s="399">
        <f t="shared" si="11"/>
        <v>0</v>
      </c>
      <c r="R68" s="398"/>
    </row>
    <row r="69" spans="1:20" ht="12.75" customHeight="1" x14ac:dyDescent="0.2">
      <c r="N69" s="398">
        <v>8</v>
      </c>
      <c r="O69" s="399">
        <f t="shared" si="9"/>
        <v>0</v>
      </c>
      <c r="P69" s="400">
        <f t="shared" si="10"/>
        <v>0</v>
      </c>
      <c r="Q69" s="399">
        <f t="shared" si="11"/>
        <v>0</v>
      </c>
      <c r="R69" s="398"/>
    </row>
    <row r="70" spans="1:20" ht="12.75" customHeight="1" x14ac:dyDescent="0.2">
      <c r="N70" s="398">
        <v>9</v>
      </c>
      <c r="O70" s="399">
        <f t="shared" si="9"/>
        <v>0</v>
      </c>
      <c r="P70" s="400">
        <f t="shared" si="10"/>
        <v>0</v>
      </c>
      <c r="Q70" s="399">
        <f t="shared" si="11"/>
        <v>0</v>
      </c>
      <c r="R70" s="398"/>
    </row>
    <row r="71" spans="1:20" ht="12.75" customHeight="1" x14ac:dyDescent="0.2">
      <c r="N71" s="398">
        <v>10</v>
      </c>
      <c r="O71" s="399">
        <f t="shared" si="9"/>
        <v>0</v>
      </c>
      <c r="P71" s="400">
        <f t="shared" si="10"/>
        <v>0</v>
      </c>
      <c r="Q71" s="399">
        <f t="shared" si="11"/>
        <v>0</v>
      </c>
      <c r="R71" s="398"/>
    </row>
    <row r="72" spans="1:20" ht="12.75" customHeight="1" x14ac:dyDescent="0.2">
      <c r="N72" s="398">
        <v>11</v>
      </c>
      <c r="O72" s="399">
        <f t="shared" si="9"/>
        <v>0</v>
      </c>
      <c r="P72" s="400">
        <f t="shared" si="10"/>
        <v>0</v>
      </c>
      <c r="Q72" s="399">
        <f t="shared" si="11"/>
        <v>0</v>
      </c>
      <c r="R72" s="398"/>
    </row>
    <row r="73" spans="1:20" ht="12.75" customHeight="1" x14ac:dyDescent="0.2">
      <c r="N73" s="398">
        <v>12</v>
      </c>
      <c r="O73" s="399">
        <f t="shared" si="9"/>
        <v>0</v>
      </c>
      <c r="P73" s="400">
        <f t="shared" si="10"/>
        <v>0</v>
      </c>
      <c r="Q73" s="399">
        <f t="shared" si="11"/>
        <v>0</v>
      </c>
      <c r="R73" s="398"/>
    </row>
    <row r="74" spans="1:20" ht="12.75" customHeight="1" x14ac:dyDescent="0.2"/>
    <row r="75" spans="1:20" ht="12.75" customHeight="1" x14ac:dyDescent="0.2"/>
    <row r="76" spans="1:20" ht="12.75" customHeight="1" x14ac:dyDescent="0.2"/>
    <row r="77" spans="1:20" ht="12.75" customHeight="1" x14ac:dyDescent="0.2"/>
    <row r="78" spans="1:20" ht="12.75" customHeight="1" x14ac:dyDescent="0.2"/>
    <row r="79" spans="1:20" ht="12.75" customHeight="1" x14ac:dyDescent="0.2">
      <c r="A79" s="402"/>
      <c r="B79" s="403"/>
      <c r="C79" s="403"/>
      <c r="D79" s="403"/>
      <c r="E79" s="403"/>
      <c r="F79" s="403"/>
      <c r="G79" s="403"/>
      <c r="H79" s="403"/>
      <c r="I79" s="403"/>
      <c r="J79" s="403"/>
      <c r="K79" s="403"/>
      <c r="L79" s="403"/>
      <c r="M79" s="404"/>
      <c r="N79" s="405"/>
      <c r="O79" s="403" t="s">
        <v>371</v>
      </c>
      <c r="P79" s="406" t="s">
        <v>371</v>
      </c>
      <c r="Q79" s="407" t="s">
        <v>402</v>
      </c>
      <c r="R79" s="408" t="s">
        <v>403</v>
      </c>
      <c r="S79" s="409" t="s">
        <v>404</v>
      </c>
      <c r="T79" s="410" t="s">
        <v>103</v>
      </c>
    </row>
    <row r="80" spans="1:2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row r="7260" ht="12.75" customHeight="1" x14ac:dyDescent="0.2"/>
    <row r="7261" ht="12.75" customHeight="1" x14ac:dyDescent="0.2"/>
    <row r="7262" ht="12.75" customHeight="1" x14ac:dyDescent="0.2"/>
    <row r="7263" ht="12.75" customHeight="1" x14ac:dyDescent="0.2"/>
    <row r="7264" ht="12.75" customHeight="1" x14ac:dyDescent="0.2"/>
    <row r="7265" ht="12.75" customHeight="1" x14ac:dyDescent="0.2"/>
    <row r="7266" ht="12.75" customHeight="1" x14ac:dyDescent="0.2"/>
    <row r="7267" ht="12.75" customHeight="1" x14ac:dyDescent="0.2"/>
    <row r="7268" ht="12.75" customHeight="1" x14ac:dyDescent="0.2"/>
    <row r="7269" ht="12.75" customHeight="1" x14ac:dyDescent="0.2"/>
    <row r="7270" ht="12.75" customHeight="1" x14ac:dyDescent="0.2"/>
    <row r="7271" ht="12.75" customHeight="1" x14ac:dyDescent="0.2"/>
    <row r="7272" ht="12.75" customHeight="1" x14ac:dyDescent="0.2"/>
    <row r="7273" ht="12.75" customHeight="1" x14ac:dyDescent="0.2"/>
    <row r="7274" ht="12.75" customHeight="1" x14ac:dyDescent="0.2"/>
    <row r="7275" ht="12.75" customHeight="1" x14ac:dyDescent="0.2"/>
    <row r="7276" ht="12.75" customHeight="1" x14ac:dyDescent="0.2"/>
    <row r="7277" ht="12.75" customHeight="1" x14ac:dyDescent="0.2"/>
    <row r="7278" ht="12.75" customHeight="1" x14ac:dyDescent="0.2"/>
    <row r="7279" ht="12.75" customHeight="1" x14ac:dyDescent="0.2"/>
    <row r="7280" ht="12.75" customHeight="1" x14ac:dyDescent="0.2"/>
    <row r="7281" ht="12.75" customHeight="1" x14ac:dyDescent="0.2"/>
    <row r="7282" ht="12.75" customHeight="1" x14ac:dyDescent="0.2"/>
    <row r="7283" ht="12.75" customHeight="1" x14ac:dyDescent="0.2"/>
    <row r="7284" ht="12.75" customHeight="1" x14ac:dyDescent="0.2"/>
    <row r="7285" ht="12.75" customHeight="1" x14ac:dyDescent="0.2"/>
    <row r="7286" ht="12.75" customHeight="1" x14ac:dyDescent="0.2"/>
    <row r="7287" ht="12.75" customHeight="1" x14ac:dyDescent="0.2"/>
    <row r="7288" ht="12.75" customHeight="1" x14ac:dyDescent="0.2"/>
    <row r="7289" ht="12.75" customHeight="1" x14ac:dyDescent="0.2"/>
    <row r="7290" ht="12.75" customHeight="1" x14ac:dyDescent="0.2"/>
    <row r="7291" ht="12.75" customHeight="1" x14ac:dyDescent="0.2"/>
    <row r="7292" ht="12.75" customHeight="1" x14ac:dyDescent="0.2"/>
    <row r="7293" ht="12.75" customHeight="1" x14ac:dyDescent="0.2"/>
    <row r="7294" ht="12.75" customHeight="1" x14ac:dyDescent="0.2"/>
    <row r="7295" ht="12.75" customHeight="1" x14ac:dyDescent="0.2"/>
    <row r="7296" ht="12.75" customHeight="1" x14ac:dyDescent="0.2"/>
    <row r="7297" ht="12.75" customHeight="1" x14ac:dyDescent="0.2"/>
    <row r="7298" ht="12.75" customHeight="1" x14ac:dyDescent="0.2"/>
    <row r="7299" ht="12.75" customHeight="1" x14ac:dyDescent="0.2"/>
    <row r="7300" ht="12.75" customHeight="1" x14ac:dyDescent="0.2"/>
    <row r="7301" ht="12.75" customHeight="1" x14ac:dyDescent="0.2"/>
    <row r="7302" ht="12.75" customHeight="1" x14ac:dyDescent="0.2"/>
    <row r="7303" ht="12.75" customHeight="1" x14ac:dyDescent="0.2"/>
    <row r="7304" ht="12.75" customHeight="1" x14ac:dyDescent="0.2"/>
    <row r="7305" ht="12.75" customHeight="1" x14ac:dyDescent="0.2"/>
    <row r="7306" ht="12.75" customHeight="1" x14ac:dyDescent="0.2"/>
    <row r="7307" ht="12.75" customHeight="1" x14ac:dyDescent="0.2"/>
    <row r="7308" ht="12.75" customHeight="1" x14ac:dyDescent="0.2"/>
    <row r="7309" ht="12.75" customHeight="1" x14ac:dyDescent="0.2"/>
    <row r="7310" ht="12.75" customHeight="1" x14ac:dyDescent="0.2"/>
    <row r="7311" ht="12.75" customHeight="1" x14ac:dyDescent="0.2"/>
    <row r="7312" ht="12.75" customHeight="1" x14ac:dyDescent="0.2"/>
    <row r="7313" ht="12.75" customHeight="1" x14ac:dyDescent="0.2"/>
    <row r="7314" ht="12.75" customHeight="1" x14ac:dyDescent="0.2"/>
    <row r="7315" ht="12.75" customHeight="1" x14ac:dyDescent="0.2"/>
    <row r="7316" ht="12.75" customHeight="1" x14ac:dyDescent="0.2"/>
    <row r="7317" ht="12.75" customHeight="1" x14ac:dyDescent="0.2"/>
    <row r="7318" ht="12.75" customHeight="1" x14ac:dyDescent="0.2"/>
    <row r="7319" ht="12.75" customHeight="1" x14ac:dyDescent="0.2"/>
    <row r="7320" ht="12.75" customHeight="1" x14ac:dyDescent="0.2"/>
    <row r="7321" ht="12.75" customHeight="1" x14ac:dyDescent="0.2"/>
    <row r="7322" ht="12.75" customHeight="1" x14ac:dyDescent="0.2"/>
    <row r="7323" ht="12.75" customHeight="1" x14ac:dyDescent="0.2"/>
    <row r="7324" ht="12.75" customHeight="1" x14ac:dyDescent="0.2"/>
    <row r="7325" ht="12.75" customHeight="1" x14ac:dyDescent="0.2"/>
    <row r="7326" ht="12.75" customHeight="1" x14ac:dyDescent="0.2"/>
    <row r="7327" ht="12.75" customHeight="1" x14ac:dyDescent="0.2"/>
    <row r="7328" ht="12.75" customHeight="1" x14ac:dyDescent="0.2"/>
    <row r="7329" ht="12.75" customHeight="1" x14ac:dyDescent="0.2"/>
    <row r="7330" ht="12.75" customHeight="1" x14ac:dyDescent="0.2"/>
    <row r="7331" ht="12.75" customHeight="1" x14ac:dyDescent="0.2"/>
    <row r="7332" ht="12.75" customHeight="1" x14ac:dyDescent="0.2"/>
    <row r="7333" ht="12.75" customHeight="1" x14ac:dyDescent="0.2"/>
    <row r="7334" ht="12.75" customHeight="1" x14ac:dyDescent="0.2"/>
    <row r="7335" ht="12.75" customHeight="1" x14ac:dyDescent="0.2"/>
    <row r="7336" ht="12.75" customHeight="1" x14ac:dyDescent="0.2"/>
    <row r="7337" ht="12.75" customHeight="1" x14ac:dyDescent="0.2"/>
    <row r="7338" ht="12.75" customHeight="1" x14ac:dyDescent="0.2"/>
    <row r="7339" ht="12.75" customHeight="1" x14ac:dyDescent="0.2"/>
    <row r="7340" ht="12.75" customHeight="1" x14ac:dyDescent="0.2"/>
    <row r="7341" ht="12.75" customHeight="1" x14ac:dyDescent="0.2"/>
    <row r="7342" ht="12.75" customHeight="1" x14ac:dyDescent="0.2"/>
    <row r="7343" ht="12.75" customHeight="1" x14ac:dyDescent="0.2"/>
    <row r="7344" ht="12.75" customHeight="1" x14ac:dyDescent="0.2"/>
    <row r="7345" ht="12.75" customHeight="1" x14ac:dyDescent="0.2"/>
    <row r="7346" ht="12.75" customHeight="1" x14ac:dyDescent="0.2"/>
    <row r="7347" ht="12.75" customHeight="1" x14ac:dyDescent="0.2"/>
    <row r="7348" ht="12.75" customHeight="1" x14ac:dyDescent="0.2"/>
    <row r="7349" ht="12.75" customHeight="1" x14ac:dyDescent="0.2"/>
    <row r="7350" ht="12.75" customHeight="1" x14ac:dyDescent="0.2"/>
    <row r="7351" ht="12.75" customHeight="1" x14ac:dyDescent="0.2"/>
    <row r="7352" ht="12.75" customHeight="1" x14ac:dyDescent="0.2"/>
    <row r="7353" ht="12.75" customHeight="1" x14ac:dyDescent="0.2"/>
    <row r="7354" ht="12.75" customHeight="1" x14ac:dyDescent="0.2"/>
    <row r="7355" ht="12.75" customHeight="1" x14ac:dyDescent="0.2"/>
    <row r="7356" ht="12.75" customHeight="1" x14ac:dyDescent="0.2"/>
    <row r="7357" ht="12.75" customHeight="1" x14ac:dyDescent="0.2"/>
    <row r="7358" ht="12.75" customHeight="1" x14ac:dyDescent="0.2"/>
    <row r="7359" ht="12.75" customHeight="1" x14ac:dyDescent="0.2"/>
    <row r="7360" ht="12.75" customHeight="1" x14ac:dyDescent="0.2"/>
    <row r="7361" ht="12.75" customHeight="1" x14ac:dyDescent="0.2"/>
    <row r="7362" ht="12.75" customHeight="1" x14ac:dyDescent="0.2"/>
    <row r="7363" ht="12.75" customHeight="1" x14ac:dyDescent="0.2"/>
    <row r="7364" ht="12.75" customHeight="1" x14ac:dyDescent="0.2"/>
    <row r="7365" ht="12.75" customHeight="1" x14ac:dyDescent="0.2"/>
    <row r="7366" ht="12.75" customHeight="1" x14ac:dyDescent="0.2"/>
    <row r="7367" ht="12.75" customHeight="1" x14ac:dyDescent="0.2"/>
    <row r="7368" ht="12.75" customHeight="1" x14ac:dyDescent="0.2"/>
    <row r="7369" ht="12.75" customHeight="1" x14ac:dyDescent="0.2"/>
    <row r="7370" ht="12.75" customHeight="1" x14ac:dyDescent="0.2"/>
    <row r="7371" ht="12.75" customHeight="1" x14ac:dyDescent="0.2"/>
    <row r="7372" ht="12.75" customHeight="1" x14ac:dyDescent="0.2"/>
    <row r="7373" ht="12.75" customHeight="1" x14ac:dyDescent="0.2"/>
    <row r="7374" ht="12.75" customHeight="1" x14ac:dyDescent="0.2"/>
    <row r="7375" ht="12.75" customHeight="1" x14ac:dyDescent="0.2"/>
    <row r="7376" ht="12.75" customHeight="1" x14ac:dyDescent="0.2"/>
    <row r="7377" ht="12.75" customHeight="1" x14ac:dyDescent="0.2"/>
    <row r="7378" ht="12.75" customHeight="1" x14ac:dyDescent="0.2"/>
    <row r="7379" ht="12.75" customHeight="1" x14ac:dyDescent="0.2"/>
    <row r="7380" ht="12.75" customHeight="1" x14ac:dyDescent="0.2"/>
    <row r="7381" ht="12.75" customHeight="1" x14ac:dyDescent="0.2"/>
    <row r="7382" ht="12.75" customHeight="1" x14ac:dyDescent="0.2"/>
    <row r="7383" ht="12.75" customHeight="1" x14ac:dyDescent="0.2"/>
    <row r="7384" ht="12.75" customHeight="1" x14ac:dyDescent="0.2"/>
    <row r="7385" ht="12.75" customHeight="1" x14ac:dyDescent="0.2"/>
    <row r="7386" ht="12.75" customHeight="1" x14ac:dyDescent="0.2"/>
    <row r="7387" ht="12.75" customHeight="1" x14ac:dyDescent="0.2"/>
    <row r="7388" ht="12.75" customHeight="1" x14ac:dyDescent="0.2"/>
    <row r="7389" ht="12.75" customHeight="1" x14ac:dyDescent="0.2"/>
    <row r="7390" ht="12.75" customHeight="1" x14ac:dyDescent="0.2"/>
    <row r="7391" ht="12.75" customHeight="1" x14ac:dyDescent="0.2"/>
    <row r="7392" ht="12.75" customHeight="1" x14ac:dyDescent="0.2"/>
    <row r="7393" ht="12.75" customHeight="1" x14ac:dyDescent="0.2"/>
    <row r="7394" ht="12.75" customHeight="1" x14ac:dyDescent="0.2"/>
    <row r="7395" ht="12.75" customHeight="1" x14ac:dyDescent="0.2"/>
    <row r="7396" ht="12.75" customHeight="1" x14ac:dyDescent="0.2"/>
    <row r="7397" ht="12.75" customHeight="1" x14ac:dyDescent="0.2"/>
    <row r="7398" ht="12.75" customHeight="1" x14ac:dyDescent="0.2"/>
    <row r="7399" ht="12.75" customHeight="1" x14ac:dyDescent="0.2"/>
    <row r="7400" ht="12.75" customHeight="1" x14ac:dyDescent="0.2"/>
    <row r="7401" ht="12.75" customHeight="1" x14ac:dyDescent="0.2"/>
    <row r="7402" ht="12.75" customHeight="1" x14ac:dyDescent="0.2"/>
    <row r="7403" ht="12.75" customHeight="1" x14ac:dyDescent="0.2"/>
    <row r="7404" ht="12.75" customHeight="1" x14ac:dyDescent="0.2"/>
    <row r="7405" ht="12.75" customHeight="1" x14ac:dyDescent="0.2"/>
    <row r="7406" ht="12.75" customHeight="1" x14ac:dyDescent="0.2"/>
    <row r="7407" ht="12.75" customHeight="1" x14ac:dyDescent="0.2"/>
    <row r="7408" ht="12.75" customHeight="1" x14ac:dyDescent="0.2"/>
    <row r="7409" ht="12.75" customHeight="1" x14ac:dyDescent="0.2"/>
    <row r="7410" ht="12.75" customHeight="1" x14ac:dyDescent="0.2"/>
    <row r="7411" ht="12.75" customHeight="1" x14ac:dyDescent="0.2"/>
    <row r="7412" ht="12.75" customHeight="1" x14ac:dyDescent="0.2"/>
    <row r="7413" ht="12.75" customHeight="1" x14ac:dyDescent="0.2"/>
    <row r="7414" ht="12.75" customHeight="1" x14ac:dyDescent="0.2"/>
    <row r="7415" ht="12.75" customHeight="1" x14ac:dyDescent="0.2"/>
    <row r="7416" ht="12.75" customHeight="1" x14ac:dyDescent="0.2"/>
    <row r="7417" ht="12.75" customHeight="1" x14ac:dyDescent="0.2"/>
    <row r="7418" ht="12.75" customHeight="1" x14ac:dyDescent="0.2"/>
    <row r="7419" ht="12.75" customHeight="1" x14ac:dyDescent="0.2"/>
    <row r="7420" ht="12.75" customHeight="1" x14ac:dyDescent="0.2"/>
    <row r="7421" ht="12.75" customHeight="1" x14ac:dyDescent="0.2"/>
    <row r="7422" ht="12.75" customHeight="1" x14ac:dyDescent="0.2"/>
    <row r="7423" ht="12.75" customHeight="1" x14ac:dyDescent="0.2"/>
    <row r="7424" ht="12.75" customHeight="1" x14ac:dyDescent="0.2"/>
    <row r="7425" ht="12.75" customHeight="1" x14ac:dyDescent="0.2"/>
    <row r="7426" ht="12.75" customHeight="1" x14ac:dyDescent="0.2"/>
    <row r="7427" ht="12.75" customHeight="1" x14ac:dyDescent="0.2"/>
    <row r="7428" ht="12.75" customHeight="1" x14ac:dyDescent="0.2"/>
    <row r="7429" ht="12.75" customHeight="1" x14ac:dyDescent="0.2"/>
    <row r="7430" ht="12.75" customHeight="1" x14ac:dyDescent="0.2"/>
    <row r="7431" ht="12.75" customHeight="1" x14ac:dyDescent="0.2"/>
    <row r="7432" ht="12.75" customHeight="1" x14ac:dyDescent="0.2"/>
    <row r="7433" ht="12.75" customHeight="1" x14ac:dyDescent="0.2"/>
    <row r="7434" ht="12.75" customHeight="1" x14ac:dyDescent="0.2"/>
    <row r="7435" ht="12.75" customHeight="1" x14ac:dyDescent="0.2"/>
    <row r="7436" ht="12.75" customHeight="1" x14ac:dyDescent="0.2"/>
    <row r="7437" ht="12.75" customHeight="1" x14ac:dyDescent="0.2"/>
    <row r="7438" ht="12.75" customHeight="1" x14ac:dyDescent="0.2"/>
    <row r="7439" ht="12.75" customHeight="1" x14ac:dyDescent="0.2"/>
    <row r="7440" ht="12.75" customHeight="1" x14ac:dyDescent="0.2"/>
    <row r="7441" ht="12.75" customHeight="1" x14ac:dyDescent="0.2"/>
    <row r="7442" ht="12.75" customHeight="1" x14ac:dyDescent="0.2"/>
    <row r="7443" ht="12.75" customHeight="1" x14ac:dyDescent="0.2"/>
    <row r="7444" ht="12.75" customHeight="1" x14ac:dyDescent="0.2"/>
    <row r="7445" ht="12.75" customHeight="1" x14ac:dyDescent="0.2"/>
    <row r="7446" ht="12.75" customHeight="1" x14ac:dyDescent="0.2"/>
    <row r="7447" ht="12.75" customHeight="1" x14ac:dyDescent="0.2"/>
    <row r="7448" ht="12.75" customHeight="1" x14ac:dyDescent="0.2"/>
    <row r="7449" ht="12.75" customHeight="1" x14ac:dyDescent="0.2"/>
    <row r="7450" ht="12.75" customHeight="1" x14ac:dyDescent="0.2"/>
    <row r="7451" ht="12.75" customHeight="1" x14ac:dyDescent="0.2"/>
    <row r="7452" ht="12.75" customHeight="1" x14ac:dyDescent="0.2"/>
    <row r="7453" ht="12.75" customHeight="1" x14ac:dyDescent="0.2"/>
    <row r="7454" ht="12.75" customHeight="1" x14ac:dyDescent="0.2"/>
    <row r="7455" ht="12.75" customHeight="1" x14ac:dyDescent="0.2"/>
    <row r="7456" ht="12.75" customHeight="1" x14ac:dyDescent="0.2"/>
    <row r="7457" ht="12.75" customHeight="1" x14ac:dyDescent="0.2"/>
    <row r="7458" ht="12.75" customHeight="1" x14ac:dyDescent="0.2"/>
    <row r="7459" ht="12.75" customHeight="1" x14ac:dyDescent="0.2"/>
    <row r="7460" ht="12.75" customHeight="1" x14ac:dyDescent="0.2"/>
    <row r="7461" ht="12.75" customHeight="1" x14ac:dyDescent="0.2"/>
    <row r="7462" ht="12.75" customHeight="1" x14ac:dyDescent="0.2"/>
    <row r="7463" ht="12.75" customHeight="1" x14ac:dyDescent="0.2"/>
    <row r="7464" ht="12.75" customHeight="1" x14ac:dyDescent="0.2"/>
    <row r="7465" ht="12.75" customHeight="1" x14ac:dyDescent="0.2"/>
    <row r="7466" ht="12.75" customHeight="1" x14ac:dyDescent="0.2"/>
    <row r="7467" ht="12.75" customHeight="1" x14ac:dyDescent="0.2"/>
    <row r="7468" ht="12.75" customHeight="1" x14ac:dyDescent="0.2"/>
    <row r="7469" ht="12.75" customHeight="1" x14ac:dyDescent="0.2"/>
    <row r="7470" ht="12.75" customHeight="1" x14ac:dyDescent="0.2"/>
    <row r="7471" ht="12.75" customHeight="1" x14ac:dyDescent="0.2"/>
    <row r="7472" ht="12.75" customHeight="1" x14ac:dyDescent="0.2"/>
    <row r="7473" ht="12.75" customHeight="1" x14ac:dyDescent="0.2"/>
    <row r="7474" ht="12.75" customHeight="1" x14ac:dyDescent="0.2"/>
    <row r="7475" ht="12.75" customHeight="1" x14ac:dyDescent="0.2"/>
    <row r="7476" ht="12.75" customHeight="1" x14ac:dyDescent="0.2"/>
    <row r="7477" ht="12.75" customHeight="1" x14ac:dyDescent="0.2"/>
    <row r="7478" ht="12.75" customHeight="1" x14ac:dyDescent="0.2"/>
    <row r="7479" ht="12.75" customHeight="1" x14ac:dyDescent="0.2"/>
    <row r="7480" ht="12.75" customHeight="1" x14ac:dyDescent="0.2"/>
    <row r="7481" ht="12.75" customHeight="1" x14ac:dyDescent="0.2"/>
    <row r="7482" ht="12.75" customHeight="1" x14ac:dyDescent="0.2"/>
    <row r="7483" ht="12.75" customHeight="1" x14ac:dyDescent="0.2"/>
    <row r="7484" ht="12.75" customHeight="1" x14ac:dyDescent="0.2"/>
    <row r="7485" ht="12.75" customHeight="1" x14ac:dyDescent="0.2"/>
    <row r="7486" ht="12.75" customHeight="1" x14ac:dyDescent="0.2"/>
    <row r="7487" ht="12.75" customHeight="1" x14ac:dyDescent="0.2"/>
    <row r="7488" ht="12.75" customHeight="1" x14ac:dyDescent="0.2"/>
    <row r="7489" ht="12.75" customHeight="1" x14ac:dyDescent="0.2"/>
    <row r="7490" ht="12.75" customHeight="1" x14ac:dyDescent="0.2"/>
    <row r="7491" ht="12.75" customHeight="1" x14ac:dyDescent="0.2"/>
    <row r="7492" ht="12.75" customHeight="1" x14ac:dyDescent="0.2"/>
    <row r="7493" ht="12.75" customHeight="1" x14ac:dyDescent="0.2"/>
    <row r="7494" ht="12.75" customHeight="1" x14ac:dyDescent="0.2"/>
    <row r="7495" ht="12.75" customHeight="1" x14ac:dyDescent="0.2"/>
    <row r="7496" ht="12.75" customHeight="1" x14ac:dyDescent="0.2"/>
    <row r="7497" ht="12.75" customHeight="1" x14ac:dyDescent="0.2"/>
    <row r="7498" ht="12.75" customHeight="1" x14ac:dyDescent="0.2"/>
    <row r="7499" ht="12.75" customHeight="1" x14ac:dyDescent="0.2"/>
    <row r="7500" ht="12.75" customHeight="1" x14ac:dyDescent="0.2"/>
    <row r="7501" ht="12.75" customHeight="1" x14ac:dyDescent="0.2"/>
    <row r="7502" ht="12.75" customHeight="1" x14ac:dyDescent="0.2"/>
    <row r="7503" ht="12.75" customHeight="1" x14ac:dyDescent="0.2"/>
    <row r="7504" ht="12.75" customHeight="1" x14ac:dyDescent="0.2"/>
    <row r="7505" ht="12.75" customHeight="1" x14ac:dyDescent="0.2"/>
    <row r="7506" ht="12.75" customHeight="1" x14ac:dyDescent="0.2"/>
    <row r="7507" ht="12.75" customHeight="1" x14ac:dyDescent="0.2"/>
    <row r="7508" ht="12.75" customHeight="1" x14ac:dyDescent="0.2"/>
    <row r="7509" ht="12.75" customHeight="1" x14ac:dyDescent="0.2"/>
    <row r="7510" ht="12.75" customHeight="1" x14ac:dyDescent="0.2"/>
    <row r="7511" ht="12.75" customHeight="1" x14ac:dyDescent="0.2"/>
    <row r="7512" ht="12.75" customHeight="1" x14ac:dyDescent="0.2"/>
    <row r="7513" ht="12.75" customHeight="1" x14ac:dyDescent="0.2"/>
    <row r="7514" ht="12.75" customHeight="1" x14ac:dyDescent="0.2"/>
    <row r="7515" ht="12.75" customHeight="1" x14ac:dyDescent="0.2"/>
    <row r="7516" ht="12.75" customHeight="1" x14ac:dyDescent="0.2"/>
    <row r="7517" ht="12.75" customHeight="1" x14ac:dyDescent="0.2"/>
    <row r="7518" ht="12.75" customHeight="1" x14ac:dyDescent="0.2"/>
    <row r="7519" ht="12.75" customHeight="1" x14ac:dyDescent="0.2"/>
    <row r="7520" ht="12.75" customHeight="1" x14ac:dyDescent="0.2"/>
    <row r="7521" ht="12.75" customHeight="1" x14ac:dyDescent="0.2"/>
    <row r="7522" ht="12.75" customHeight="1" x14ac:dyDescent="0.2"/>
    <row r="7523" ht="12.75" customHeight="1" x14ac:dyDescent="0.2"/>
    <row r="7524" ht="12.75" customHeight="1" x14ac:dyDescent="0.2"/>
    <row r="7525" ht="12.75" customHeight="1" x14ac:dyDescent="0.2"/>
    <row r="7526" ht="12.75" customHeight="1" x14ac:dyDescent="0.2"/>
    <row r="7527" ht="12.75" customHeight="1" x14ac:dyDescent="0.2"/>
    <row r="7528" ht="12.75" customHeight="1" x14ac:dyDescent="0.2"/>
    <row r="7529" ht="12.75" customHeight="1" x14ac:dyDescent="0.2"/>
    <row r="7530" ht="12.75" customHeight="1" x14ac:dyDescent="0.2"/>
    <row r="7531" ht="12.75" customHeight="1" x14ac:dyDescent="0.2"/>
    <row r="7532" ht="12.75" customHeight="1" x14ac:dyDescent="0.2"/>
    <row r="7533" ht="12.75" customHeight="1" x14ac:dyDescent="0.2"/>
    <row r="7534" ht="12.75" customHeight="1" x14ac:dyDescent="0.2"/>
    <row r="7535" ht="12.75" customHeight="1" x14ac:dyDescent="0.2"/>
    <row r="7536" ht="12.75" customHeight="1" x14ac:dyDescent="0.2"/>
    <row r="7537" ht="12.75" customHeight="1" x14ac:dyDescent="0.2"/>
    <row r="7538" ht="12.75" customHeight="1" x14ac:dyDescent="0.2"/>
    <row r="7539" ht="12.75" customHeight="1" x14ac:dyDescent="0.2"/>
    <row r="7540" ht="12.75" customHeight="1" x14ac:dyDescent="0.2"/>
    <row r="7541" ht="12.75" customHeight="1" x14ac:dyDescent="0.2"/>
    <row r="7542" ht="12.75" customHeight="1" x14ac:dyDescent="0.2"/>
    <row r="7543" ht="12.75" customHeight="1" x14ac:dyDescent="0.2"/>
    <row r="7544" ht="12.75" customHeight="1" x14ac:dyDescent="0.2"/>
    <row r="7545" ht="12.75" customHeight="1" x14ac:dyDescent="0.2"/>
    <row r="7546" ht="12.75" customHeight="1" x14ac:dyDescent="0.2"/>
    <row r="7547" ht="12.75" customHeight="1" x14ac:dyDescent="0.2"/>
    <row r="7548" ht="12.75" customHeight="1" x14ac:dyDescent="0.2"/>
    <row r="7549" ht="12.75" customHeight="1" x14ac:dyDescent="0.2"/>
    <row r="7550" ht="12.75" customHeight="1" x14ac:dyDescent="0.2"/>
    <row r="7551" ht="12.75" customHeight="1" x14ac:dyDescent="0.2"/>
    <row r="7552" ht="12.75" customHeight="1" x14ac:dyDescent="0.2"/>
    <row r="7553" ht="12.75" customHeight="1" x14ac:dyDescent="0.2"/>
    <row r="7554" ht="12.75" customHeight="1" x14ac:dyDescent="0.2"/>
    <row r="7555" ht="12.75" customHeight="1" x14ac:dyDescent="0.2"/>
    <row r="7556" ht="12.75" customHeight="1" x14ac:dyDescent="0.2"/>
    <row r="7557" ht="12.75" customHeight="1" x14ac:dyDescent="0.2"/>
    <row r="7558" ht="12.75" customHeight="1" x14ac:dyDescent="0.2"/>
    <row r="7559" ht="12.75" customHeight="1" x14ac:dyDescent="0.2"/>
    <row r="7560" ht="12.75" customHeight="1" x14ac:dyDescent="0.2"/>
    <row r="7561" ht="12.75" customHeight="1" x14ac:dyDescent="0.2"/>
    <row r="7562" ht="12.75" customHeight="1" x14ac:dyDescent="0.2"/>
    <row r="7563" ht="12.75" customHeight="1" x14ac:dyDescent="0.2"/>
    <row r="7564" ht="12.75" customHeight="1" x14ac:dyDescent="0.2"/>
    <row r="7565" ht="12.75" customHeight="1" x14ac:dyDescent="0.2"/>
    <row r="7566" ht="12.75" customHeight="1" x14ac:dyDescent="0.2"/>
    <row r="7567" ht="12.75" customHeight="1" x14ac:dyDescent="0.2"/>
    <row r="7568" ht="12.75" customHeight="1" x14ac:dyDescent="0.2"/>
    <row r="7569" ht="12.75" customHeight="1" x14ac:dyDescent="0.2"/>
    <row r="7570" ht="12.75" customHeight="1" x14ac:dyDescent="0.2"/>
    <row r="7571" ht="12.75" customHeight="1" x14ac:dyDescent="0.2"/>
    <row r="7572" ht="12.75" customHeight="1" x14ac:dyDescent="0.2"/>
    <row r="7573" ht="12.75" customHeight="1" x14ac:dyDescent="0.2"/>
    <row r="7574" ht="12.75" customHeight="1" x14ac:dyDescent="0.2"/>
    <row r="7575" ht="12.75" customHeight="1" x14ac:dyDescent="0.2"/>
    <row r="7576" ht="12.75" customHeight="1" x14ac:dyDescent="0.2"/>
    <row r="7577" ht="12.75" customHeight="1" x14ac:dyDescent="0.2"/>
    <row r="7578" ht="12.75" customHeight="1" x14ac:dyDescent="0.2"/>
    <row r="7579" ht="12.75" customHeight="1" x14ac:dyDescent="0.2"/>
    <row r="7580" ht="12.75" customHeight="1" x14ac:dyDescent="0.2"/>
    <row r="7581" ht="12.75" customHeight="1" x14ac:dyDescent="0.2"/>
    <row r="7582" ht="12.75" customHeight="1" x14ac:dyDescent="0.2"/>
    <row r="7583" ht="12.75" customHeight="1" x14ac:dyDescent="0.2"/>
    <row r="7584" ht="12.75" customHeight="1" x14ac:dyDescent="0.2"/>
    <row r="7585" ht="12.75" customHeight="1" x14ac:dyDescent="0.2"/>
    <row r="7586" ht="12.75" customHeight="1" x14ac:dyDescent="0.2"/>
    <row r="7587" ht="12.75" customHeight="1" x14ac:dyDescent="0.2"/>
    <row r="7588" ht="12.75" customHeight="1" x14ac:dyDescent="0.2"/>
    <row r="7589" ht="12.75" customHeight="1" x14ac:dyDescent="0.2"/>
    <row r="7590" ht="12.75" customHeight="1" x14ac:dyDescent="0.2"/>
    <row r="7591" ht="12.75" customHeight="1" x14ac:dyDescent="0.2"/>
    <row r="7592" ht="12.75" customHeight="1" x14ac:dyDescent="0.2"/>
    <row r="7593" ht="12.75" customHeight="1" x14ac:dyDescent="0.2"/>
    <row r="7594" ht="12.75" customHeight="1" x14ac:dyDescent="0.2"/>
    <row r="7595" ht="12.75" customHeight="1" x14ac:dyDescent="0.2"/>
    <row r="7596" ht="12.75" customHeight="1" x14ac:dyDescent="0.2"/>
    <row r="7597" ht="12.75" customHeight="1" x14ac:dyDescent="0.2"/>
    <row r="7598" ht="12.75" customHeight="1" x14ac:dyDescent="0.2"/>
    <row r="7599" ht="12.75" customHeight="1" x14ac:dyDescent="0.2"/>
    <row r="7600" ht="12.75" customHeight="1" x14ac:dyDescent="0.2"/>
    <row r="7601" ht="12.75" customHeight="1" x14ac:dyDescent="0.2"/>
    <row r="7602" ht="12.75" customHeight="1" x14ac:dyDescent="0.2"/>
    <row r="7603" ht="12.75" customHeight="1" x14ac:dyDescent="0.2"/>
    <row r="7604" ht="12.75" customHeight="1" x14ac:dyDescent="0.2"/>
    <row r="7605" ht="12.75" customHeight="1" x14ac:dyDescent="0.2"/>
    <row r="7606" ht="12.75" customHeight="1" x14ac:dyDescent="0.2"/>
    <row r="7607" ht="12.75" customHeight="1" x14ac:dyDescent="0.2"/>
    <row r="7608" ht="12.75" customHeight="1" x14ac:dyDescent="0.2"/>
    <row r="7609" ht="12.75" customHeight="1" x14ac:dyDescent="0.2"/>
    <row r="7610" ht="12.75" customHeight="1" x14ac:dyDescent="0.2"/>
    <row r="7611" ht="12.75" customHeight="1" x14ac:dyDescent="0.2"/>
    <row r="7612" ht="12.75" customHeight="1" x14ac:dyDescent="0.2"/>
    <row r="7613" ht="12.75" customHeight="1" x14ac:dyDescent="0.2"/>
    <row r="7614" ht="12.75" customHeight="1" x14ac:dyDescent="0.2"/>
    <row r="7615" ht="12.75" customHeight="1" x14ac:dyDescent="0.2"/>
    <row r="7616" ht="12.75" customHeight="1" x14ac:dyDescent="0.2"/>
    <row r="7617" ht="12.75" customHeight="1" x14ac:dyDescent="0.2"/>
    <row r="7618" ht="12.75" customHeight="1" x14ac:dyDescent="0.2"/>
    <row r="7619" ht="12.75" customHeight="1" x14ac:dyDescent="0.2"/>
    <row r="7620" ht="12.75" customHeight="1" x14ac:dyDescent="0.2"/>
    <row r="7621" ht="12.75" customHeight="1" x14ac:dyDescent="0.2"/>
    <row r="7622" ht="12.75" customHeight="1" x14ac:dyDescent="0.2"/>
    <row r="7623" ht="12.75" customHeight="1" x14ac:dyDescent="0.2"/>
    <row r="7624" ht="12.75" customHeight="1" x14ac:dyDescent="0.2"/>
    <row r="7625" ht="12.75" customHeight="1" x14ac:dyDescent="0.2"/>
    <row r="7626" ht="12.75" customHeight="1" x14ac:dyDescent="0.2"/>
    <row r="7627" ht="12.75" customHeight="1" x14ac:dyDescent="0.2"/>
    <row r="7628" ht="12.75" customHeight="1" x14ac:dyDescent="0.2"/>
    <row r="7629" ht="12.75" customHeight="1" x14ac:dyDescent="0.2"/>
    <row r="7630" ht="12.75" customHeight="1" x14ac:dyDescent="0.2"/>
    <row r="7631" ht="12.75" customHeight="1" x14ac:dyDescent="0.2"/>
    <row r="7632" ht="12.75" customHeight="1" x14ac:dyDescent="0.2"/>
    <row r="7633" ht="12.75" customHeight="1" x14ac:dyDescent="0.2"/>
    <row r="7634" ht="12.75" customHeight="1" x14ac:dyDescent="0.2"/>
    <row r="7635" ht="12.75" customHeight="1" x14ac:dyDescent="0.2"/>
    <row r="7636" ht="12.75" customHeight="1" x14ac:dyDescent="0.2"/>
    <row r="7637" ht="12.75" customHeight="1" x14ac:dyDescent="0.2"/>
    <row r="7638" ht="12.75" customHeight="1" x14ac:dyDescent="0.2"/>
    <row r="7639" ht="12.75" customHeight="1" x14ac:dyDescent="0.2"/>
    <row r="7640" ht="12.75" customHeight="1" x14ac:dyDescent="0.2"/>
    <row r="7641" ht="12.75" customHeight="1" x14ac:dyDescent="0.2"/>
    <row r="7642" ht="12.75" customHeight="1" x14ac:dyDescent="0.2"/>
    <row r="7643" ht="12.75" customHeight="1" x14ac:dyDescent="0.2"/>
    <row r="7644" ht="12.75" customHeight="1" x14ac:dyDescent="0.2"/>
    <row r="7645" ht="12.75" customHeight="1" x14ac:dyDescent="0.2"/>
    <row r="7646" ht="12.75" customHeight="1" x14ac:dyDescent="0.2"/>
    <row r="7647" ht="12.75" customHeight="1" x14ac:dyDescent="0.2"/>
    <row r="7648" ht="12.75" customHeight="1" x14ac:dyDescent="0.2"/>
    <row r="7649" ht="12.75" customHeight="1" x14ac:dyDescent="0.2"/>
    <row r="7650" ht="12.75" customHeight="1" x14ac:dyDescent="0.2"/>
    <row r="7651" ht="12.75" customHeight="1" x14ac:dyDescent="0.2"/>
    <row r="7652" ht="12.75" customHeight="1" x14ac:dyDescent="0.2"/>
    <row r="7653" ht="12.75" customHeight="1" x14ac:dyDescent="0.2"/>
    <row r="7654" ht="12.75" customHeight="1" x14ac:dyDescent="0.2"/>
    <row r="7655" ht="12.75" customHeight="1" x14ac:dyDescent="0.2"/>
    <row r="7656" ht="12.75" customHeight="1" x14ac:dyDescent="0.2"/>
    <row r="7657" ht="12.75" customHeight="1" x14ac:dyDescent="0.2"/>
    <row r="7658" ht="12.75" customHeight="1" x14ac:dyDescent="0.2"/>
    <row r="7659" ht="12.75" customHeight="1" x14ac:dyDescent="0.2"/>
    <row r="7660" ht="12.75" customHeight="1" x14ac:dyDescent="0.2"/>
    <row r="7661" ht="12.75" customHeight="1" x14ac:dyDescent="0.2"/>
    <row r="7662" ht="12.75" customHeight="1" x14ac:dyDescent="0.2"/>
    <row r="7663" ht="12.75" customHeight="1" x14ac:dyDescent="0.2"/>
    <row r="7664" ht="12.75" customHeight="1" x14ac:dyDescent="0.2"/>
    <row r="7665" ht="12.75" customHeight="1" x14ac:dyDescent="0.2"/>
    <row r="7666" ht="12.75" customHeight="1" x14ac:dyDescent="0.2"/>
    <row r="7667" ht="12.75" customHeight="1" x14ac:dyDescent="0.2"/>
    <row r="7668" ht="12.75" customHeight="1" x14ac:dyDescent="0.2"/>
    <row r="7669" ht="12.75" customHeight="1" x14ac:dyDescent="0.2"/>
    <row r="7670" ht="12.75" customHeight="1" x14ac:dyDescent="0.2"/>
    <row r="7671" ht="12.75" customHeight="1" x14ac:dyDescent="0.2"/>
    <row r="7672" ht="12.75" customHeight="1" x14ac:dyDescent="0.2"/>
    <row r="7673" ht="12.75" customHeight="1" x14ac:dyDescent="0.2"/>
    <row r="7674" ht="12.75" customHeight="1" x14ac:dyDescent="0.2"/>
    <row r="7675" ht="12.75" customHeight="1" x14ac:dyDescent="0.2"/>
    <row r="7676" ht="12.75" customHeight="1" x14ac:dyDescent="0.2"/>
    <row r="7677" ht="12.75" customHeight="1" x14ac:dyDescent="0.2"/>
    <row r="7678" ht="12.75" customHeight="1" x14ac:dyDescent="0.2"/>
    <row r="7679" ht="12.75" customHeight="1" x14ac:dyDescent="0.2"/>
    <row r="7680" ht="12.75" customHeight="1" x14ac:dyDescent="0.2"/>
    <row r="7681" ht="12.75" customHeight="1" x14ac:dyDescent="0.2"/>
    <row r="7682" ht="12.75" customHeight="1" x14ac:dyDescent="0.2"/>
    <row r="7683" ht="12.75" customHeight="1" x14ac:dyDescent="0.2"/>
    <row r="7684" ht="12.75" customHeight="1" x14ac:dyDescent="0.2"/>
    <row r="7685" ht="12.75" customHeight="1" x14ac:dyDescent="0.2"/>
    <row r="7686" ht="12.75" customHeight="1" x14ac:dyDescent="0.2"/>
    <row r="7687" ht="12.75" customHeight="1" x14ac:dyDescent="0.2"/>
    <row r="7688" ht="12.75" customHeight="1" x14ac:dyDescent="0.2"/>
    <row r="7689" ht="12.75" customHeight="1" x14ac:dyDescent="0.2"/>
    <row r="7690" ht="12.75" customHeight="1" x14ac:dyDescent="0.2"/>
    <row r="7691" ht="12.75" customHeight="1" x14ac:dyDescent="0.2"/>
    <row r="7692" ht="12.75" customHeight="1" x14ac:dyDescent="0.2"/>
    <row r="7693" ht="12.75" customHeight="1" x14ac:dyDescent="0.2"/>
    <row r="7694" ht="12.75" customHeight="1" x14ac:dyDescent="0.2"/>
    <row r="7695" ht="12.75" customHeight="1" x14ac:dyDescent="0.2"/>
    <row r="7696" ht="12.75" customHeight="1" x14ac:dyDescent="0.2"/>
    <row r="7697" ht="12.75" customHeight="1" x14ac:dyDescent="0.2"/>
    <row r="7698" ht="12.75" customHeight="1" x14ac:dyDescent="0.2"/>
    <row r="7699" ht="12.75" customHeight="1" x14ac:dyDescent="0.2"/>
    <row r="7700" ht="12.75" customHeight="1" x14ac:dyDescent="0.2"/>
    <row r="7701" ht="12.75" customHeight="1" x14ac:dyDescent="0.2"/>
    <row r="7702" ht="12.75" customHeight="1" x14ac:dyDescent="0.2"/>
    <row r="7703" ht="12.75" customHeight="1" x14ac:dyDescent="0.2"/>
    <row r="7704" ht="12.75" customHeight="1" x14ac:dyDescent="0.2"/>
    <row r="7705" ht="12.75" customHeight="1" x14ac:dyDescent="0.2"/>
    <row r="7706" ht="12.75" customHeight="1" x14ac:dyDescent="0.2"/>
    <row r="7707" ht="12.75" customHeight="1" x14ac:dyDescent="0.2"/>
    <row r="7708" ht="12.75" customHeight="1" x14ac:dyDescent="0.2"/>
    <row r="7709" ht="12.75" customHeight="1" x14ac:dyDescent="0.2"/>
    <row r="7710" ht="12.75" customHeight="1" x14ac:dyDescent="0.2"/>
    <row r="7711" ht="12.75" customHeight="1" x14ac:dyDescent="0.2"/>
    <row r="7712" ht="12.75" customHeight="1" x14ac:dyDescent="0.2"/>
    <row r="7713" ht="12.75" customHeight="1" x14ac:dyDescent="0.2"/>
    <row r="7714" ht="12.75" customHeight="1" x14ac:dyDescent="0.2"/>
    <row r="7715" ht="12.75" customHeight="1" x14ac:dyDescent="0.2"/>
    <row r="7716" ht="12.75" customHeight="1" x14ac:dyDescent="0.2"/>
    <row r="7717" ht="12.75" customHeight="1" x14ac:dyDescent="0.2"/>
    <row r="7718" ht="12.75" customHeight="1" x14ac:dyDescent="0.2"/>
    <row r="7719" ht="12.75" customHeight="1" x14ac:dyDescent="0.2"/>
    <row r="7720" ht="12.75" customHeight="1" x14ac:dyDescent="0.2"/>
    <row r="7721" ht="12.75" customHeight="1" x14ac:dyDescent="0.2"/>
    <row r="7722" ht="12.75" customHeight="1" x14ac:dyDescent="0.2"/>
    <row r="7723" ht="12.75" customHeight="1" x14ac:dyDescent="0.2"/>
    <row r="7724" ht="12.75" customHeight="1" x14ac:dyDescent="0.2"/>
    <row r="7725" ht="12.75" customHeight="1" x14ac:dyDescent="0.2"/>
    <row r="7726" ht="12.75" customHeight="1" x14ac:dyDescent="0.2"/>
    <row r="7727" ht="12.75" customHeight="1" x14ac:dyDescent="0.2"/>
    <row r="7728" ht="12.75" customHeight="1" x14ac:dyDescent="0.2"/>
    <row r="7729" ht="12.75" customHeight="1" x14ac:dyDescent="0.2"/>
    <row r="7730" ht="12.75" customHeight="1" x14ac:dyDescent="0.2"/>
    <row r="7731" ht="12.75" customHeight="1" x14ac:dyDescent="0.2"/>
    <row r="7732" ht="12.75" customHeight="1" x14ac:dyDescent="0.2"/>
    <row r="7733" ht="12.75" customHeight="1" x14ac:dyDescent="0.2"/>
    <row r="7734" ht="12.75" customHeight="1" x14ac:dyDescent="0.2"/>
    <row r="7735" ht="12.75" customHeight="1" x14ac:dyDescent="0.2"/>
    <row r="7736" ht="12.75" customHeight="1" x14ac:dyDescent="0.2"/>
    <row r="7737" ht="12.75" customHeight="1" x14ac:dyDescent="0.2"/>
    <row r="7738" ht="12.75" customHeight="1" x14ac:dyDescent="0.2"/>
    <row r="7739" ht="12.75" customHeight="1" x14ac:dyDescent="0.2"/>
    <row r="7740" ht="12.75" customHeight="1" x14ac:dyDescent="0.2"/>
    <row r="7741" ht="12.75" customHeight="1" x14ac:dyDescent="0.2"/>
    <row r="7742" ht="12.75" customHeight="1" x14ac:dyDescent="0.2"/>
    <row r="7743" ht="12.75" customHeight="1" x14ac:dyDescent="0.2"/>
    <row r="7744" ht="12.75" customHeight="1" x14ac:dyDescent="0.2"/>
    <row r="7745" ht="12.75" customHeight="1" x14ac:dyDescent="0.2"/>
    <row r="7746" ht="12.75" customHeight="1" x14ac:dyDescent="0.2"/>
    <row r="7747" ht="12.75" customHeight="1" x14ac:dyDescent="0.2"/>
    <row r="7748" ht="12.75" customHeight="1" x14ac:dyDescent="0.2"/>
    <row r="7749" ht="12.75" customHeight="1" x14ac:dyDescent="0.2"/>
    <row r="7750" ht="12.75" customHeight="1" x14ac:dyDescent="0.2"/>
    <row r="7751" ht="12.75" customHeight="1" x14ac:dyDescent="0.2"/>
    <row r="7752" ht="12.75" customHeight="1" x14ac:dyDescent="0.2"/>
    <row r="7753" ht="12.75" customHeight="1" x14ac:dyDescent="0.2"/>
    <row r="7754" ht="12.75" customHeight="1" x14ac:dyDescent="0.2"/>
    <row r="7755" ht="12.75" customHeight="1" x14ac:dyDescent="0.2"/>
    <row r="7756" ht="12.75" customHeight="1" x14ac:dyDescent="0.2"/>
    <row r="7757" ht="12.75" customHeight="1" x14ac:dyDescent="0.2"/>
    <row r="7758" ht="12.75" customHeight="1" x14ac:dyDescent="0.2"/>
    <row r="7759" ht="12.75" customHeight="1" x14ac:dyDescent="0.2"/>
    <row r="7760" ht="12.75" customHeight="1" x14ac:dyDescent="0.2"/>
    <row r="7761" ht="12.75" customHeight="1" x14ac:dyDescent="0.2"/>
    <row r="7762" ht="12.75" customHeight="1" x14ac:dyDescent="0.2"/>
    <row r="7763" ht="12.75" customHeight="1" x14ac:dyDescent="0.2"/>
    <row r="7764" ht="12.75" customHeight="1" x14ac:dyDescent="0.2"/>
    <row r="7765" ht="12.75" customHeight="1" x14ac:dyDescent="0.2"/>
    <row r="7766" ht="12.75" customHeight="1" x14ac:dyDescent="0.2"/>
    <row r="7767" ht="12.75" customHeight="1" x14ac:dyDescent="0.2"/>
    <row r="7768" ht="12.75" customHeight="1" x14ac:dyDescent="0.2"/>
    <row r="7769" ht="12.75" customHeight="1" x14ac:dyDescent="0.2"/>
    <row r="7770" ht="12.75" customHeight="1" x14ac:dyDescent="0.2"/>
    <row r="7771" ht="12.75" customHeight="1" x14ac:dyDescent="0.2"/>
    <row r="7772" ht="12.75" customHeight="1" x14ac:dyDescent="0.2"/>
    <row r="7773" ht="12.75" customHeight="1" x14ac:dyDescent="0.2"/>
    <row r="7774" ht="12.75" customHeight="1" x14ac:dyDescent="0.2"/>
    <row r="7775" ht="12.75" customHeight="1" x14ac:dyDescent="0.2"/>
    <row r="7776" ht="12.75" customHeight="1" x14ac:dyDescent="0.2"/>
    <row r="7777" ht="12.75" customHeight="1" x14ac:dyDescent="0.2"/>
    <row r="7778" ht="12.75" customHeight="1" x14ac:dyDescent="0.2"/>
    <row r="7779" ht="12.75" customHeight="1" x14ac:dyDescent="0.2"/>
    <row r="7780" ht="12.75" customHeight="1" x14ac:dyDescent="0.2"/>
    <row r="7781" ht="12.75" customHeight="1" x14ac:dyDescent="0.2"/>
    <row r="7782" ht="12.75" customHeight="1" x14ac:dyDescent="0.2"/>
    <row r="7783" ht="12.75" customHeight="1" x14ac:dyDescent="0.2"/>
    <row r="7784" ht="12.75" customHeight="1" x14ac:dyDescent="0.2"/>
    <row r="7785" ht="12.75" customHeight="1" x14ac:dyDescent="0.2"/>
    <row r="7786" ht="12.75" customHeight="1" x14ac:dyDescent="0.2"/>
    <row r="7787" ht="12.75" customHeight="1" x14ac:dyDescent="0.2"/>
    <row r="7788" ht="12.75" customHeight="1" x14ac:dyDescent="0.2"/>
    <row r="7789" ht="12.75" customHeight="1" x14ac:dyDescent="0.2"/>
    <row r="7790" ht="12.75" customHeight="1" x14ac:dyDescent="0.2"/>
    <row r="7791" ht="12.75" customHeight="1" x14ac:dyDescent="0.2"/>
    <row r="7792" ht="12.75" customHeight="1" x14ac:dyDescent="0.2"/>
    <row r="7793" ht="12.75" customHeight="1" x14ac:dyDescent="0.2"/>
    <row r="7794" ht="12.75" customHeight="1" x14ac:dyDescent="0.2"/>
    <row r="7795" ht="12.75" customHeight="1" x14ac:dyDescent="0.2"/>
    <row r="7796" ht="12.75" customHeight="1" x14ac:dyDescent="0.2"/>
    <row r="7797" ht="12.75" customHeight="1" x14ac:dyDescent="0.2"/>
    <row r="7798" ht="12.75" customHeight="1" x14ac:dyDescent="0.2"/>
    <row r="7799" ht="12.75" customHeight="1" x14ac:dyDescent="0.2"/>
    <row r="7800" ht="12.75" customHeight="1" x14ac:dyDescent="0.2"/>
    <row r="7801" ht="12.75" customHeight="1" x14ac:dyDescent="0.2"/>
    <row r="7802" ht="12.75" customHeight="1" x14ac:dyDescent="0.2"/>
    <row r="7803" ht="12.75" customHeight="1" x14ac:dyDescent="0.2"/>
    <row r="7804" ht="12.75" customHeight="1" x14ac:dyDescent="0.2"/>
    <row r="7805" ht="12.75" customHeight="1" x14ac:dyDescent="0.2"/>
    <row r="7806" ht="12.75" customHeight="1" x14ac:dyDescent="0.2"/>
    <row r="7807" ht="12.75" customHeight="1" x14ac:dyDescent="0.2"/>
    <row r="7808" ht="12.75" customHeight="1" x14ac:dyDescent="0.2"/>
    <row r="7809" ht="12.75" customHeight="1" x14ac:dyDescent="0.2"/>
    <row r="7810" ht="12.75" customHeight="1" x14ac:dyDescent="0.2"/>
    <row r="7811" ht="12.75" customHeight="1" x14ac:dyDescent="0.2"/>
    <row r="7812" ht="12.75" customHeight="1" x14ac:dyDescent="0.2"/>
    <row r="7813" ht="12.75" customHeight="1" x14ac:dyDescent="0.2"/>
    <row r="7814" ht="12.75" customHeight="1" x14ac:dyDescent="0.2"/>
    <row r="7815" ht="12.75" customHeight="1" x14ac:dyDescent="0.2"/>
    <row r="7816" ht="12.75" customHeight="1" x14ac:dyDescent="0.2"/>
    <row r="7817" ht="12.75" customHeight="1" x14ac:dyDescent="0.2"/>
    <row r="7818" ht="12.75" customHeight="1" x14ac:dyDescent="0.2"/>
    <row r="7819" ht="12.75" customHeight="1" x14ac:dyDescent="0.2"/>
    <row r="7820" ht="12.75" customHeight="1" x14ac:dyDescent="0.2"/>
    <row r="7821" ht="12.75" customHeight="1" x14ac:dyDescent="0.2"/>
    <row r="7822" ht="12.75" customHeight="1" x14ac:dyDescent="0.2"/>
    <row r="7823" ht="12.75" customHeight="1" x14ac:dyDescent="0.2"/>
    <row r="7824" ht="12.75" customHeight="1" x14ac:dyDescent="0.2"/>
    <row r="7825" ht="12.75" customHeight="1" x14ac:dyDescent="0.2"/>
    <row r="7826" ht="12.75" customHeight="1" x14ac:dyDescent="0.2"/>
    <row r="7827" ht="12.75" customHeight="1" x14ac:dyDescent="0.2"/>
    <row r="7828" ht="12.75" customHeight="1" x14ac:dyDescent="0.2"/>
    <row r="7829" ht="12.75" customHeight="1" x14ac:dyDescent="0.2"/>
    <row r="7830" ht="12.75" customHeight="1" x14ac:dyDescent="0.2"/>
    <row r="7831" ht="12.75" customHeight="1" x14ac:dyDescent="0.2"/>
    <row r="7832" ht="12.75" customHeight="1" x14ac:dyDescent="0.2"/>
    <row r="7833" ht="12.75" customHeight="1" x14ac:dyDescent="0.2"/>
    <row r="7834" ht="12.75" customHeight="1" x14ac:dyDescent="0.2"/>
    <row r="7835" ht="12.75" customHeight="1" x14ac:dyDescent="0.2"/>
    <row r="7836" ht="12.75" customHeight="1" x14ac:dyDescent="0.2"/>
    <row r="7837" ht="12.75" customHeight="1" x14ac:dyDescent="0.2"/>
    <row r="7838" ht="12.75" customHeight="1" x14ac:dyDescent="0.2"/>
    <row r="7839" ht="12.75" customHeight="1" x14ac:dyDescent="0.2"/>
    <row r="7840" ht="12.75" customHeight="1" x14ac:dyDescent="0.2"/>
    <row r="7841" ht="12.75" customHeight="1" x14ac:dyDescent="0.2"/>
    <row r="7842" ht="12.75" customHeight="1" x14ac:dyDescent="0.2"/>
    <row r="7843" ht="12.75" customHeight="1" x14ac:dyDescent="0.2"/>
    <row r="7844" ht="12.75" customHeight="1" x14ac:dyDescent="0.2"/>
    <row r="7845" ht="12.75" customHeight="1" x14ac:dyDescent="0.2"/>
    <row r="7846" ht="12.75" customHeight="1" x14ac:dyDescent="0.2"/>
    <row r="7847" ht="12.75" customHeight="1" x14ac:dyDescent="0.2"/>
    <row r="7848" ht="12.75" customHeight="1" x14ac:dyDescent="0.2"/>
    <row r="7849" ht="12.75" customHeight="1" x14ac:dyDescent="0.2"/>
    <row r="7850" ht="12.75" customHeight="1" x14ac:dyDescent="0.2"/>
    <row r="7851" ht="12.75" customHeight="1" x14ac:dyDescent="0.2"/>
    <row r="7852" ht="12.75" customHeight="1" x14ac:dyDescent="0.2"/>
    <row r="7853" ht="12.75" customHeight="1" x14ac:dyDescent="0.2"/>
    <row r="7854" ht="12.75" customHeight="1" x14ac:dyDescent="0.2"/>
    <row r="7855" ht="12.75" customHeight="1" x14ac:dyDescent="0.2"/>
    <row r="7856" ht="12.75" customHeight="1" x14ac:dyDescent="0.2"/>
    <row r="7857" ht="12.75" customHeight="1" x14ac:dyDescent="0.2"/>
    <row r="7858" ht="12.75" customHeight="1" x14ac:dyDescent="0.2"/>
    <row r="7859" ht="12.75" customHeight="1" x14ac:dyDescent="0.2"/>
    <row r="7860" ht="12.75" customHeight="1" x14ac:dyDescent="0.2"/>
    <row r="7861" ht="12.75" customHeight="1" x14ac:dyDescent="0.2"/>
    <row r="7862" ht="12.75" customHeight="1" x14ac:dyDescent="0.2"/>
    <row r="7863" ht="12.75" customHeight="1" x14ac:dyDescent="0.2"/>
    <row r="7864" ht="12.75" customHeight="1" x14ac:dyDescent="0.2"/>
    <row r="7865" ht="12.75" customHeight="1" x14ac:dyDescent="0.2"/>
    <row r="7866" ht="12.75" customHeight="1" x14ac:dyDescent="0.2"/>
    <row r="7867" ht="12.75" customHeight="1" x14ac:dyDescent="0.2"/>
    <row r="7868" ht="12.75" customHeight="1" x14ac:dyDescent="0.2"/>
    <row r="7869" ht="12.75" customHeight="1" x14ac:dyDescent="0.2"/>
    <row r="7870" ht="12.75" customHeight="1" x14ac:dyDescent="0.2"/>
    <row r="7871" ht="12.75" customHeight="1" x14ac:dyDescent="0.2"/>
    <row r="7872" ht="12.75" customHeight="1" x14ac:dyDescent="0.2"/>
    <row r="7873" ht="12.75" customHeight="1" x14ac:dyDescent="0.2"/>
    <row r="7874" ht="12.75" customHeight="1" x14ac:dyDescent="0.2"/>
    <row r="7875" ht="12.75" customHeight="1" x14ac:dyDescent="0.2"/>
    <row r="7876" ht="12.75" customHeight="1" x14ac:dyDescent="0.2"/>
    <row r="7877" ht="12.75" customHeight="1" x14ac:dyDescent="0.2"/>
    <row r="7878" ht="12.75" customHeight="1" x14ac:dyDescent="0.2"/>
    <row r="7879" ht="12.75" customHeight="1" x14ac:dyDescent="0.2"/>
    <row r="7880" ht="12.75" customHeight="1" x14ac:dyDescent="0.2"/>
    <row r="7881" ht="12.75" customHeight="1" x14ac:dyDescent="0.2"/>
    <row r="7882" ht="12.75" customHeight="1" x14ac:dyDescent="0.2"/>
    <row r="7883" ht="12.75" customHeight="1" x14ac:dyDescent="0.2"/>
    <row r="7884" ht="12.75" customHeight="1" x14ac:dyDescent="0.2"/>
    <row r="7885" ht="12.75" customHeight="1" x14ac:dyDescent="0.2"/>
    <row r="7886" ht="12.75" customHeight="1" x14ac:dyDescent="0.2"/>
    <row r="7887" ht="12.75" customHeight="1" x14ac:dyDescent="0.2"/>
    <row r="7888" ht="12.75" customHeight="1" x14ac:dyDescent="0.2"/>
    <row r="7889" ht="12.75" customHeight="1" x14ac:dyDescent="0.2"/>
    <row r="7890" ht="12.75" customHeight="1" x14ac:dyDescent="0.2"/>
    <row r="7891" ht="12.75" customHeight="1" x14ac:dyDescent="0.2"/>
    <row r="7892" ht="12.75" customHeight="1" x14ac:dyDescent="0.2"/>
    <row r="7893" ht="12.75" customHeight="1" x14ac:dyDescent="0.2"/>
    <row r="7894" ht="12.75" customHeight="1" x14ac:dyDescent="0.2"/>
    <row r="7895" ht="12.75" customHeight="1" x14ac:dyDescent="0.2"/>
    <row r="7896" ht="12.75" customHeight="1" x14ac:dyDescent="0.2"/>
    <row r="7897" ht="12.75" customHeight="1" x14ac:dyDescent="0.2"/>
    <row r="7898" ht="12.75" customHeight="1" x14ac:dyDescent="0.2"/>
    <row r="7899" ht="12.75" customHeight="1" x14ac:dyDescent="0.2"/>
    <row r="7900" ht="12.75" customHeight="1" x14ac:dyDescent="0.2"/>
    <row r="7901" ht="12.75" customHeight="1" x14ac:dyDescent="0.2"/>
    <row r="7902" ht="12.75" customHeight="1" x14ac:dyDescent="0.2"/>
    <row r="7903" ht="12.75" customHeight="1" x14ac:dyDescent="0.2"/>
    <row r="7904" ht="12.75" customHeight="1" x14ac:dyDescent="0.2"/>
    <row r="7905" ht="12.75" customHeight="1" x14ac:dyDescent="0.2"/>
    <row r="7906" ht="12.75" customHeight="1" x14ac:dyDescent="0.2"/>
    <row r="7907" ht="12.75" customHeight="1" x14ac:dyDescent="0.2"/>
    <row r="7908" ht="12.75" customHeight="1" x14ac:dyDescent="0.2"/>
    <row r="7909" ht="12.75" customHeight="1" x14ac:dyDescent="0.2"/>
    <row r="7910" ht="12.75" customHeight="1" x14ac:dyDescent="0.2"/>
    <row r="7911" ht="12.75" customHeight="1" x14ac:dyDescent="0.2"/>
    <row r="7912" ht="12.75" customHeight="1" x14ac:dyDescent="0.2"/>
    <row r="7913" ht="12.75" customHeight="1" x14ac:dyDescent="0.2"/>
    <row r="7914" ht="12.75" customHeight="1" x14ac:dyDescent="0.2"/>
    <row r="7915" ht="12.75" customHeight="1" x14ac:dyDescent="0.2"/>
    <row r="7916" ht="12.75" customHeight="1" x14ac:dyDescent="0.2"/>
    <row r="7917" ht="12.75" customHeight="1" x14ac:dyDescent="0.2"/>
    <row r="7918" ht="12.75" customHeight="1" x14ac:dyDescent="0.2"/>
    <row r="7919" ht="12.75" customHeight="1" x14ac:dyDescent="0.2"/>
    <row r="7920" ht="12.75" customHeight="1" x14ac:dyDescent="0.2"/>
    <row r="7921" ht="12.75" customHeight="1" x14ac:dyDescent="0.2"/>
    <row r="7922" ht="12.75" customHeight="1" x14ac:dyDescent="0.2"/>
    <row r="7923" ht="12.75" customHeight="1" x14ac:dyDescent="0.2"/>
    <row r="7924" ht="12.75" customHeight="1" x14ac:dyDescent="0.2"/>
    <row r="7925" ht="12.75" customHeight="1" x14ac:dyDescent="0.2"/>
    <row r="7926" ht="12.75" customHeight="1" x14ac:dyDescent="0.2"/>
    <row r="7927" ht="12.75" customHeight="1" x14ac:dyDescent="0.2"/>
    <row r="7928" ht="12.75" customHeight="1" x14ac:dyDescent="0.2"/>
    <row r="7929" ht="12.75" customHeight="1" x14ac:dyDescent="0.2"/>
    <row r="7930" ht="12.75" customHeight="1" x14ac:dyDescent="0.2"/>
    <row r="7931" ht="12.75" customHeight="1" x14ac:dyDescent="0.2"/>
    <row r="7932" ht="12.75" customHeight="1" x14ac:dyDescent="0.2"/>
    <row r="7933" ht="12.75" customHeight="1" x14ac:dyDescent="0.2"/>
    <row r="7934" ht="12.75" customHeight="1" x14ac:dyDescent="0.2"/>
    <row r="7935" ht="12.75" customHeight="1" x14ac:dyDescent="0.2"/>
    <row r="7936" ht="12.75" customHeight="1" x14ac:dyDescent="0.2"/>
    <row r="7937" ht="12.75" customHeight="1" x14ac:dyDescent="0.2"/>
    <row r="7938" ht="12.75" customHeight="1" x14ac:dyDescent="0.2"/>
    <row r="7939" ht="12.75" customHeight="1" x14ac:dyDescent="0.2"/>
    <row r="7940" ht="12.75" customHeight="1" x14ac:dyDescent="0.2"/>
    <row r="7941" ht="12.75" customHeight="1" x14ac:dyDescent="0.2"/>
  </sheetData>
  <conditionalFormatting sqref="D5:D46">
    <cfRule type="expression" dxfId="16" priority="8" stopIfTrue="1">
      <formula>#REF!="Not Suppressed"</formula>
    </cfRule>
  </conditionalFormatting>
  <conditionalFormatting sqref="I5:I45">
    <cfRule type="expression" dxfId="15" priority="4" stopIfTrue="1">
      <formula>#REF!="Not Suppressed"</formula>
    </cfRule>
  </conditionalFormatting>
  <conditionalFormatting sqref="I4">
    <cfRule type="expression" dxfId="14" priority="3" stopIfTrue="1">
      <formula>#REF!="Not Suppressed"</formula>
    </cfRule>
  </conditionalFormatting>
  <conditionalFormatting sqref="I6:I46">
    <cfRule type="expression" dxfId="13" priority="2" stopIfTrue="1">
      <formula>#REF!="Not Suppressed"</formula>
    </cfRule>
  </conditionalFormatting>
  <conditionalFormatting sqref="I5">
    <cfRule type="expression" dxfId="12" priority="1" stopIfTrue="1">
      <formula>#REF!="Not Suppressed"</formula>
    </cfRule>
  </conditionalFormatting>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H44"/>
  <sheetViews>
    <sheetView topLeftCell="A21" workbookViewId="0">
      <selection activeCell="A42" sqref="A42"/>
    </sheetView>
  </sheetViews>
  <sheetFormatPr defaultRowHeight="18.75" x14ac:dyDescent="0.3"/>
  <cols>
    <col min="1" max="1" width="34.296875" customWidth="1"/>
    <col min="2" max="2" width="29.8984375" customWidth="1"/>
    <col min="3" max="3" width="34.796875" customWidth="1"/>
    <col min="4" max="4" width="55.69921875" customWidth="1"/>
    <col min="5" max="5" width="19" customWidth="1"/>
    <col min="6" max="6" width="20.3984375" customWidth="1"/>
    <col min="7" max="7" width="18.69921875" customWidth="1"/>
    <col min="8" max="8" width="20.09765625" customWidth="1"/>
    <col min="9" max="9" width="12.296875" customWidth="1"/>
    <col min="10" max="10" width="16.8984375" customWidth="1"/>
    <col min="11" max="11" width="32.69921875" customWidth="1"/>
    <col min="12" max="12" width="28.796875" customWidth="1"/>
    <col min="13" max="13" width="32.69921875" customWidth="1"/>
    <col min="14" max="14" width="36.296875" customWidth="1"/>
    <col min="15" max="15" width="35.5" customWidth="1"/>
    <col min="16" max="16" width="39.3984375" bestFit="1" customWidth="1"/>
  </cols>
  <sheetData>
    <row r="1" spans="1:8" x14ac:dyDescent="0.3">
      <c r="A1" t="s">
        <v>92</v>
      </c>
    </row>
    <row r="2" spans="1:8" x14ac:dyDescent="0.3">
      <c r="A2" s="188" t="s">
        <v>183</v>
      </c>
    </row>
    <row r="3" spans="1:8" x14ac:dyDescent="0.3">
      <c r="A3" s="473" t="s">
        <v>379</v>
      </c>
      <c r="B3" s="473" t="s">
        <v>381</v>
      </c>
      <c r="C3" s="473" t="s">
        <v>380</v>
      </c>
      <c r="D3" s="473" t="s">
        <v>382</v>
      </c>
      <c r="E3" s="473" t="s">
        <v>383</v>
      </c>
      <c r="F3" s="473" t="s">
        <v>384</v>
      </c>
      <c r="G3" s="473" t="s">
        <v>385</v>
      </c>
      <c r="H3" s="473" t="s">
        <v>386</v>
      </c>
    </row>
    <row r="4" spans="1:8" x14ac:dyDescent="0.3">
      <c r="A4" s="189">
        <v>170822</v>
      </c>
      <c r="B4" s="189">
        <v>103548</v>
      </c>
      <c r="C4" s="189">
        <v>67274</v>
      </c>
      <c r="D4" s="189">
        <v>90872</v>
      </c>
      <c r="E4" s="189">
        <v>10634</v>
      </c>
      <c r="F4" s="189">
        <v>2042</v>
      </c>
      <c r="G4" s="189">
        <v>7511</v>
      </c>
      <c r="H4" s="189">
        <v>1822</v>
      </c>
    </row>
    <row r="6" spans="1:8" x14ac:dyDescent="0.3">
      <c r="A6" t="s">
        <v>469</v>
      </c>
    </row>
    <row r="7" spans="1:8" x14ac:dyDescent="0.3">
      <c r="A7" s="188" t="s">
        <v>183</v>
      </c>
    </row>
    <row r="8" spans="1:8" x14ac:dyDescent="0.3">
      <c r="A8" s="473" t="s">
        <v>246</v>
      </c>
      <c r="B8" s="473" t="s">
        <v>249</v>
      </c>
      <c r="C8" s="473" t="s">
        <v>248</v>
      </c>
      <c r="D8" s="473" t="s">
        <v>247</v>
      </c>
    </row>
    <row r="9" spans="1:8" x14ac:dyDescent="0.3">
      <c r="A9" s="189">
        <v>77118</v>
      </c>
      <c r="B9" s="189">
        <v>3252</v>
      </c>
      <c r="C9" s="189">
        <v>5887</v>
      </c>
      <c r="D9" s="189">
        <v>45780</v>
      </c>
    </row>
    <row r="10" spans="1:8" x14ac:dyDescent="0.3">
      <c r="A10" s="189"/>
    </row>
    <row r="11" spans="1:8" x14ac:dyDescent="0.3">
      <c r="A11" s="189" t="s">
        <v>470</v>
      </c>
    </row>
    <row r="12" spans="1:8" x14ac:dyDescent="0.3">
      <c r="A12" s="188" t="s">
        <v>183</v>
      </c>
    </row>
    <row r="13" spans="1:8" x14ac:dyDescent="0.3">
      <c r="A13" s="473" t="s">
        <v>186</v>
      </c>
      <c r="B13" s="473" t="s">
        <v>187</v>
      </c>
      <c r="C13" s="473" t="s">
        <v>188</v>
      </c>
      <c r="D13" s="473" t="s">
        <v>191</v>
      </c>
      <c r="E13" s="473" t="s">
        <v>190</v>
      </c>
      <c r="F13" s="473" t="s">
        <v>189</v>
      </c>
      <c r="G13" s="473" t="s">
        <v>192</v>
      </c>
      <c r="H13" s="473" t="s">
        <v>193</v>
      </c>
    </row>
    <row r="14" spans="1:8" x14ac:dyDescent="0.3">
      <c r="A14" s="189">
        <v>18477</v>
      </c>
      <c r="B14" s="189">
        <v>22759</v>
      </c>
      <c r="C14" s="189">
        <v>9222</v>
      </c>
      <c r="D14" s="189">
        <v>11480</v>
      </c>
      <c r="E14" s="189">
        <v>1416</v>
      </c>
      <c r="F14" s="189">
        <v>1783</v>
      </c>
      <c r="G14" s="189">
        <v>1400</v>
      </c>
      <c r="H14" s="189">
        <v>1854</v>
      </c>
    </row>
    <row r="16" spans="1:8" x14ac:dyDescent="0.3">
      <c r="A16" t="s">
        <v>471</v>
      </c>
    </row>
    <row r="17" spans="1:6" x14ac:dyDescent="0.3">
      <c r="A17" s="188" t="s">
        <v>183</v>
      </c>
    </row>
    <row r="18" spans="1:6" x14ac:dyDescent="0.3">
      <c r="A18" s="473" t="s">
        <v>234</v>
      </c>
      <c r="B18" s="473" t="s">
        <v>233</v>
      </c>
      <c r="C18" s="473" t="s">
        <v>235</v>
      </c>
      <c r="D18" s="473" t="s">
        <v>236</v>
      </c>
    </row>
    <row r="19" spans="1:6" x14ac:dyDescent="0.3">
      <c r="A19" s="189">
        <v>9068</v>
      </c>
      <c r="B19" s="189">
        <v>10838</v>
      </c>
      <c r="C19" s="189">
        <v>5746</v>
      </c>
      <c r="D19" s="189">
        <v>7096</v>
      </c>
    </row>
    <row r="21" spans="1:6" x14ac:dyDescent="0.3">
      <c r="A21" t="s">
        <v>472</v>
      </c>
    </row>
    <row r="22" spans="1:6" x14ac:dyDescent="0.3">
      <c r="A22" s="188" t="s">
        <v>183</v>
      </c>
    </row>
    <row r="23" spans="1:6" x14ac:dyDescent="0.3">
      <c r="A23" s="473" t="s">
        <v>452</v>
      </c>
      <c r="B23" s="473" t="s">
        <v>454</v>
      </c>
      <c r="C23" s="473" t="s">
        <v>560</v>
      </c>
      <c r="D23" s="473" t="s">
        <v>455</v>
      </c>
      <c r="E23" s="473" t="s">
        <v>558</v>
      </c>
      <c r="F23" s="473" t="s">
        <v>559</v>
      </c>
    </row>
    <row r="24" spans="1:6" x14ac:dyDescent="0.3">
      <c r="A24" s="189">
        <v>3473</v>
      </c>
      <c r="B24" s="189">
        <v>4188</v>
      </c>
      <c r="C24" s="189">
        <v>10</v>
      </c>
      <c r="D24" s="189">
        <v>12</v>
      </c>
      <c r="E24" s="189">
        <v>13.236831118378847</v>
      </c>
      <c r="F24" s="189">
        <v>13.745607208570631</v>
      </c>
    </row>
    <row r="26" spans="1:6" x14ac:dyDescent="0.3">
      <c r="A26" s="473" t="s">
        <v>604</v>
      </c>
    </row>
    <row r="27" spans="1:6" x14ac:dyDescent="0.3">
      <c r="A27" s="188" t="s">
        <v>183</v>
      </c>
    </row>
    <row r="28" spans="1:6" x14ac:dyDescent="0.3">
      <c r="A28" s="473" t="s">
        <v>305</v>
      </c>
      <c r="B28" s="473" t="s">
        <v>306</v>
      </c>
      <c r="C28" s="473" t="s">
        <v>307</v>
      </c>
      <c r="D28" s="473" t="s">
        <v>308</v>
      </c>
      <c r="E28" s="473" t="s">
        <v>309</v>
      </c>
    </row>
    <row r="29" spans="1:6" x14ac:dyDescent="0.3">
      <c r="A29" s="189">
        <v>69831</v>
      </c>
      <c r="B29" s="189">
        <v>222474</v>
      </c>
      <c r="C29" s="189">
        <v>15091.01</v>
      </c>
      <c r="D29" s="189">
        <v>18588.98</v>
      </c>
      <c r="E29" s="189">
        <v>15.667737494263424</v>
      </c>
    </row>
    <row r="31" spans="1:6" x14ac:dyDescent="0.3">
      <c r="A31" s="473" t="s">
        <v>606</v>
      </c>
    </row>
    <row r="32" spans="1:6" x14ac:dyDescent="0.3">
      <c r="A32" s="188" t="s">
        <v>183</v>
      </c>
    </row>
    <row r="33" spans="1:8" x14ac:dyDescent="0.3">
      <c r="A33" s="473" t="s">
        <v>336</v>
      </c>
      <c r="B33" s="473" t="s">
        <v>325</v>
      </c>
      <c r="C33" s="473" t="s">
        <v>327</v>
      </c>
      <c r="D33" s="473" t="s">
        <v>326</v>
      </c>
      <c r="E33" s="473" t="s">
        <v>335</v>
      </c>
    </row>
    <row r="34" spans="1:8" x14ac:dyDescent="0.3">
      <c r="A34" s="189">
        <v>368525</v>
      </c>
      <c r="B34" s="189">
        <v>158979</v>
      </c>
      <c r="C34" s="189">
        <v>15637</v>
      </c>
      <c r="D34" s="189">
        <v>66783</v>
      </c>
      <c r="E34" s="189">
        <v>114771</v>
      </c>
    </row>
    <row r="36" spans="1:8" x14ac:dyDescent="0.3">
      <c r="A36" s="473" t="s">
        <v>608</v>
      </c>
    </row>
    <row r="37" spans="1:8" x14ac:dyDescent="0.3">
      <c r="A37" s="188" t="s">
        <v>183</v>
      </c>
    </row>
    <row r="38" spans="1:8" x14ac:dyDescent="0.3">
      <c r="A38" s="473" t="s">
        <v>337</v>
      </c>
      <c r="B38" s="473" t="s">
        <v>338</v>
      </c>
      <c r="C38" s="473" t="s">
        <v>339</v>
      </c>
      <c r="D38" s="473" t="s">
        <v>340</v>
      </c>
      <c r="E38" s="473" t="s">
        <v>341</v>
      </c>
      <c r="F38" s="473" t="s">
        <v>345</v>
      </c>
      <c r="G38" s="473" t="s">
        <v>346</v>
      </c>
      <c r="H38" s="473" t="s">
        <v>347</v>
      </c>
    </row>
    <row r="39" spans="1:8" x14ac:dyDescent="0.3">
      <c r="A39" s="189">
        <v>18764</v>
      </c>
      <c r="B39" s="189">
        <v>9561</v>
      </c>
      <c r="C39" s="189">
        <v>5017</v>
      </c>
      <c r="D39" s="189">
        <v>2845</v>
      </c>
      <c r="E39" s="189">
        <v>1347</v>
      </c>
      <c r="F39" s="189">
        <v>13559</v>
      </c>
      <c r="G39" s="189">
        <v>12807</v>
      </c>
      <c r="H39" s="189">
        <v>2301</v>
      </c>
    </row>
    <row r="41" spans="1:8" x14ac:dyDescent="0.3">
      <c r="A41" s="473" t="s">
        <v>449</v>
      </c>
    </row>
    <row r="42" spans="1:8" x14ac:dyDescent="0.3">
      <c r="A42" s="188" t="s">
        <v>183</v>
      </c>
    </row>
    <row r="43" spans="1:8" x14ac:dyDescent="0.3">
      <c r="A43" s="473" t="s">
        <v>343</v>
      </c>
      <c r="B43" s="473" t="s">
        <v>344</v>
      </c>
      <c r="C43" s="473" t="s">
        <v>342</v>
      </c>
    </row>
    <row r="44" spans="1:8" x14ac:dyDescent="0.3">
      <c r="A44" s="189">
        <v>319137</v>
      </c>
      <c r="B44" s="189">
        <v>277160</v>
      </c>
      <c r="C44" s="189">
        <v>50241</v>
      </c>
    </row>
  </sheetData>
  <pageMargins left="0.7" right="0.7" top="0.75" bottom="0.75" header="0.3" footer="0.3"/>
  <pageSetup orientation="portrait"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M284"/>
  <sheetViews>
    <sheetView topLeftCell="F68" workbookViewId="0">
      <selection activeCell="H94" sqref="H94"/>
    </sheetView>
  </sheetViews>
  <sheetFormatPr defaultRowHeight="18.75" x14ac:dyDescent="0.3"/>
  <cols>
    <col min="1" max="1" width="11.796875" customWidth="1"/>
    <col min="2" max="2" width="12.59765625" customWidth="1"/>
    <col min="3" max="3" width="17.69921875" customWidth="1"/>
    <col min="4" max="4" width="13.5" customWidth="1"/>
    <col min="5" max="5" width="18.296875" customWidth="1"/>
    <col min="6" max="6" width="49.09765625" customWidth="1"/>
    <col min="7" max="7" width="56.5" customWidth="1"/>
    <col min="8" max="8" width="15.59765625" customWidth="1"/>
    <col min="9" max="9" width="14.3984375" customWidth="1"/>
    <col min="10" max="10" width="14.59765625" customWidth="1"/>
    <col min="11" max="11" width="14.3984375" customWidth="1"/>
    <col min="12" max="12" width="36.09765625" customWidth="1"/>
    <col min="13" max="13" width="26" customWidth="1"/>
    <col min="14" max="14" width="4.8984375" customWidth="1"/>
    <col min="15" max="15" width="1.8984375" customWidth="1"/>
    <col min="16" max="22" width="4.8984375" customWidth="1"/>
    <col min="23" max="24" width="3.8984375" customWidth="1"/>
    <col min="25" max="25" width="4.8984375" customWidth="1"/>
    <col min="26" max="26" width="3.8984375" customWidth="1"/>
    <col min="27" max="28" width="4.8984375" customWidth="1"/>
    <col min="29" max="29" width="3.8984375" customWidth="1"/>
    <col min="30" max="32" width="4.8984375" customWidth="1"/>
    <col min="33" max="33" width="3.8984375" customWidth="1"/>
    <col min="34" max="35" width="4.8984375" customWidth="1"/>
    <col min="36" max="36" width="2.8984375" customWidth="1"/>
    <col min="37" max="37" width="5.8984375" customWidth="1"/>
    <col min="38" max="38" width="4.8984375" customWidth="1"/>
    <col min="39" max="41" width="5.8984375" customWidth="1"/>
    <col min="42" max="42" width="4.8984375" customWidth="1"/>
    <col min="43" max="43" width="5.8984375" customWidth="1"/>
    <col min="44" max="44" width="4.8984375" customWidth="1"/>
    <col min="45" max="54" width="5.8984375" customWidth="1"/>
    <col min="55" max="55" width="4.8984375" customWidth="1"/>
    <col min="56" max="57" width="5.8984375" customWidth="1"/>
    <col min="58" max="58" width="4.8984375" customWidth="1"/>
    <col min="59" max="63" width="5.8984375" customWidth="1"/>
    <col min="64" max="64" width="4.8984375" customWidth="1"/>
    <col min="65" max="67" width="5.8984375" customWidth="1"/>
    <col min="68" max="68" width="2.8984375" customWidth="1"/>
    <col min="69" max="70" width="5.8984375" customWidth="1"/>
    <col min="71" max="71" width="4.8984375" customWidth="1"/>
    <col min="72" max="76" width="5.8984375" customWidth="1"/>
    <col min="77" max="77" width="4.8984375" customWidth="1"/>
    <col min="78" max="78" width="5.8984375" customWidth="1"/>
    <col min="79" max="79" width="4.8984375" customWidth="1"/>
    <col min="80" max="83" width="5.8984375" customWidth="1"/>
    <col min="84" max="84" width="4.8984375" customWidth="1"/>
    <col min="85" max="92" width="5.8984375" customWidth="1"/>
    <col min="93" max="93" width="2.8984375" customWidth="1"/>
    <col min="94" max="96" width="5.8984375" customWidth="1"/>
    <col min="97" max="97" width="4.8984375" customWidth="1"/>
    <col min="98" max="103" width="5.8984375" customWidth="1"/>
    <col min="104" max="104" width="4.8984375" customWidth="1"/>
    <col min="105" max="105" width="5.8984375" customWidth="1"/>
    <col min="106" max="106" width="4.8984375" customWidth="1"/>
    <col min="107" max="117" width="5.8984375" customWidth="1"/>
    <col min="118" max="118" width="2.8984375" customWidth="1"/>
    <col min="119" max="129" width="5.8984375" customWidth="1"/>
    <col min="130" max="130" width="4.8984375" customWidth="1"/>
    <col min="131" max="134" width="5.8984375" customWidth="1"/>
    <col min="135" max="135" width="4.8984375" customWidth="1"/>
    <col min="136" max="140" width="5.8984375" customWidth="1"/>
    <col min="141" max="141" width="2.8984375" customWidth="1"/>
    <col min="142" max="145" width="5.8984375" customWidth="1"/>
    <col min="146" max="146" width="4.8984375" customWidth="1"/>
    <col min="147" max="148" width="5.8984375" customWidth="1"/>
    <col min="149" max="149" width="4.8984375" customWidth="1"/>
    <col min="150" max="151" width="5.8984375" customWidth="1"/>
    <col min="152" max="152" width="2.8984375" customWidth="1"/>
    <col min="153" max="154" width="5.8984375" customWidth="1"/>
    <col min="155" max="155" width="4.8984375" customWidth="1"/>
    <col min="156" max="158" width="5.8984375" customWidth="1"/>
    <col min="159" max="159" width="4.8984375" customWidth="1"/>
    <col min="160" max="160" width="5.8984375" customWidth="1"/>
    <col min="161" max="161" width="4.8984375" customWidth="1"/>
    <col min="162" max="163" width="5.8984375" customWidth="1"/>
    <col min="164" max="164" width="2.8984375" customWidth="1"/>
    <col min="165" max="171" width="5.8984375" customWidth="1"/>
    <col min="172" max="172" width="4.8984375" customWidth="1"/>
    <col min="173" max="176" width="5.8984375" customWidth="1"/>
    <col min="177" max="177" width="2.8984375" customWidth="1"/>
    <col min="178" max="178" width="4.8984375" customWidth="1"/>
    <col min="179" max="179" width="5.8984375" customWidth="1"/>
    <col min="180" max="180" width="4.8984375" customWidth="1"/>
    <col min="181" max="181" width="5.8984375" customWidth="1"/>
    <col min="182" max="184" width="4.8984375" customWidth="1"/>
    <col min="185" max="185" width="2.8984375" customWidth="1"/>
    <col min="186" max="189" width="5.8984375" customWidth="1"/>
    <col min="190" max="190" width="4.8984375" customWidth="1"/>
    <col min="191" max="191" width="5.8984375" customWidth="1"/>
    <col min="192" max="192" width="2.8984375" customWidth="1"/>
    <col min="193" max="196" width="5.8984375" customWidth="1"/>
    <col min="197" max="198" width="4.8984375" customWidth="1"/>
    <col min="199" max="200" width="5.8984375" customWidth="1"/>
    <col min="201" max="201" width="2.8984375" customWidth="1"/>
    <col min="202" max="202" width="4.8984375" customWidth="1"/>
    <col min="203" max="203" width="5.8984375" customWidth="1"/>
    <col min="204" max="205" width="4.8984375" customWidth="1"/>
    <col min="206" max="206" width="5.8984375" customWidth="1"/>
    <col min="207" max="207" width="2.8984375" customWidth="1"/>
    <col min="208" max="208" width="5.8984375" customWidth="1"/>
    <col min="209" max="209" width="4.8984375" customWidth="1"/>
    <col min="210" max="210" width="5.8984375" customWidth="1"/>
    <col min="211" max="211" width="2.8984375" customWidth="1"/>
    <col min="212" max="214" width="5.8984375" customWidth="1"/>
    <col min="215" max="215" width="2.8984375" customWidth="1"/>
    <col min="216" max="217" width="5.8984375" customWidth="1"/>
    <col min="218" max="218" width="2.8984375" customWidth="1"/>
    <col min="219" max="222" width="5.8984375" customWidth="1"/>
    <col min="223" max="223" width="2.8984375" customWidth="1"/>
    <col min="224" max="224" width="4.8984375" customWidth="1"/>
    <col min="225" max="226" width="5.8984375" customWidth="1"/>
    <col min="227" max="227" width="2.8984375" customWidth="1"/>
    <col min="228" max="228" width="5.8984375" customWidth="1"/>
    <col min="229" max="229" width="2.8984375" customWidth="1"/>
    <col min="230" max="230" width="5.8984375" customWidth="1"/>
    <col min="231" max="231" width="2.8984375" customWidth="1"/>
    <col min="232" max="234" width="5.8984375" customWidth="1"/>
    <col min="235" max="235" width="3.8984375" customWidth="1"/>
    <col min="236" max="236" width="10.09765625" customWidth="1"/>
    <col min="237" max="237" width="5.8984375" customWidth="1"/>
    <col min="238" max="238" width="3.8984375" customWidth="1"/>
    <col min="239" max="239" width="10.09765625" customWidth="1"/>
    <col min="240" max="240" width="26" bestFit="1" customWidth="1"/>
    <col min="241" max="241" width="16.3984375" customWidth="1"/>
    <col min="242" max="242" width="26" bestFit="1" customWidth="1"/>
    <col min="243" max="243" width="16.3984375" customWidth="1"/>
    <col min="244" max="244" width="26" bestFit="1" customWidth="1"/>
    <col min="245" max="245" width="16.3984375" customWidth="1"/>
    <col min="246" max="246" width="26" bestFit="1" customWidth="1"/>
    <col min="247" max="247" width="16.3984375" customWidth="1"/>
    <col min="248" max="248" width="26" bestFit="1" customWidth="1"/>
    <col min="249" max="249" width="16.3984375" customWidth="1"/>
    <col min="250" max="250" width="26" bestFit="1" customWidth="1"/>
    <col min="251" max="251" width="16.3984375" customWidth="1"/>
    <col min="252" max="252" width="26" bestFit="1" customWidth="1"/>
    <col min="253" max="253" width="16.3984375" customWidth="1"/>
    <col min="254" max="254" width="26" bestFit="1" customWidth="1"/>
    <col min="255" max="255" width="16.3984375" customWidth="1"/>
    <col min="256" max="256" width="26" bestFit="1" customWidth="1"/>
    <col min="257" max="257" width="16.3984375" customWidth="1"/>
    <col min="258" max="258" width="26" bestFit="1" customWidth="1"/>
    <col min="259" max="259" width="16.3984375" customWidth="1"/>
    <col min="260" max="260" width="26" bestFit="1" customWidth="1"/>
    <col min="261" max="261" width="16.3984375" customWidth="1"/>
    <col min="262" max="262" width="26" bestFit="1" customWidth="1"/>
    <col min="263" max="263" width="16.3984375" customWidth="1"/>
    <col min="264" max="264" width="26" bestFit="1" customWidth="1"/>
    <col min="265" max="265" width="16.3984375" customWidth="1"/>
    <col min="266" max="266" width="26" bestFit="1" customWidth="1"/>
    <col min="267" max="267" width="16.3984375" customWidth="1"/>
    <col min="268" max="268" width="26" bestFit="1" customWidth="1"/>
    <col min="269" max="269" width="16.3984375" customWidth="1"/>
    <col min="270" max="270" width="26" bestFit="1" customWidth="1"/>
    <col min="271" max="271" width="16.3984375" customWidth="1"/>
    <col min="272" max="272" width="26" bestFit="1" customWidth="1"/>
    <col min="273" max="273" width="16.3984375" customWidth="1"/>
    <col min="274" max="274" width="26" bestFit="1" customWidth="1"/>
    <col min="275" max="275" width="16.3984375" customWidth="1"/>
    <col min="276" max="276" width="26" bestFit="1" customWidth="1"/>
    <col min="277" max="277" width="16.3984375" customWidth="1"/>
    <col min="278" max="278" width="26" bestFit="1" customWidth="1"/>
    <col min="279" max="279" width="16.3984375" customWidth="1"/>
    <col min="280" max="280" width="26" bestFit="1" customWidth="1"/>
    <col min="281" max="281" width="16.3984375" customWidth="1"/>
    <col min="282" max="282" width="26" bestFit="1" customWidth="1"/>
    <col min="283" max="283" width="16.3984375" customWidth="1"/>
    <col min="284" max="284" width="26" bestFit="1" customWidth="1"/>
    <col min="285" max="285" width="16.3984375" customWidth="1"/>
    <col min="286" max="286" width="26" bestFit="1" customWidth="1"/>
    <col min="287" max="287" width="16.3984375" customWidth="1"/>
    <col min="288" max="288" width="26" bestFit="1" customWidth="1"/>
    <col min="289" max="289" width="16.3984375" customWidth="1"/>
    <col min="290" max="290" width="26" bestFit="1" customWidth="1"/>
    <col min="291" max="291" width="16.3984375" customWidth="1"/>
    <col min="292" max="292" width="26" bestFit="1" customWidth="1"/>
    <col min="293" max="293" width="16.3984375" customWidth="1"/>
    <col min="294" max="294" width="26" bestFit="1" customWidth="1"/>
    <col min="295" max="295" width="16.3984375" customWidth="1"/>
    <col min="296" max="296" width="26" bestFit="1" customWidth="1"/>
    <col min="297" max="297" width="16.3984375" customWidth="1"/>
    <col min="298" max="298" width="26" bestFit="1" customWidth="1"/>
    <col min="299" max="299" width="16.3984375" customWidth="1"/>
    <col min="300" max="300" width="26" bestFit="1" customWidth="1"/>
    <col min="301" max="301" width="16.3984375" customWidth="1"/>
    <col min="302" max="302" width="26" bestFit="1" customWidth="1"/>
    <col min="303" max="303" width="16.3984375" customWidth="1"/>
    <col min="304" max="304" width="26" bestFit="1" customWidth="1"/>
    <col min="305" max="305" width="16.3984375" customWidth="1"/>
    <col min="306" max="306" width="26" bestFit="1" customWidth="1"/>
    <col min="307" max="307" width="16.3984375" customWidth="1"/>
    <col min="308" max="308" width="26" bestFit="1" customWidth="1"/>
    <col min="309" max="309" width="16.3984375" customWidth="1"/>
    <col min="310" max="310" width="26" bestFit="1" customWidth="1"/>
    <col min="311" max="311" width="16.3984375" customWidth="1"/>
    <col min="312" max="312" width="26" bestFit="1" customWidth="1"/>
    <col min="313" max="313" width="16.3984375" customWidth="1"/>
    <col min="314" max="314" width="26" bestFit="1" customWidth="1"/>
    <col min="315" max="315" width="16.3984375" customWidth="1"/>
    <col min="316" max="316" width="26" bestFit="1" customWidth="1"/>
    <col min="317" max="317" width="16.3984375" customWidth="1"/>
    <col min="318" max="318" width="26" bestFit="1" customWidth="1"/>
    <col min="319" max="319" width="16.3984375" customWidth="1"/>
    <col min="320" max="320" width="26" bestFit="1" customWidth="1"/>
    <col min="321" max="321" width="16.3984375" customWidth="1"/>
    <col min="322" max="322" width="26" bestFit="1" customWidth="1"/>
    <col min="323" max="323" width="16.3984375" customWidth="1"/>
    <col min="324" max="324" width="26" bestFit="1" customWidth="1"/>
    <col min="325" max="325" width="16.3984375" customWidth="1"/>
    <col min="326" max="326" width="26" bestFit="1" customWidth="1"/>
    <col min="327" max="327" width="16.3984375" customWidth="1"/>
    <col min="328" max="328" width="26" bestFit="1" customWidth="1"/>
    <col min="329" max="329" width="16.3984375" customWidth="1"/>
    <col min="330" max="330" width="26" bestFit="1" customWidth="1"/>
    <col min="331" max="331" width="16.3984375" customWidth="1"/>
    <col min="332" max="332" width="26" bestFit="1" customWidth="1"/>
    <col min="333" max="333" width="16.3984375" customWidth="1"/>
    <col min="334" max="334" width="26" bestFit="1" customWidth="1"/>
    <col min="335" max="335" width="16.3984375" customWidth="1"/>
    <col min="336" max="336" width="26" bestFit="1" customWidth="1"/>
    <col min="337" max="337" width="16.3984375" customWidth="1"/>
    <col min="338" max="338" width="26" bestFit="1" customWidth="1"/>
    <col min="339" max="339" width="16.3984375" customWidth="1"/>
    <col min="340" max="340" width="26" bestFit="1" customWidth="1"/>
    <col min="341" max="341" width="16.3984375" customWidth="1"/>
    <col min="342" max="342" width="26" bestFit="1" customWidth="1"/>
    <col min="343" max="343" width="16.3984375" customWidth="1"/>
    <col min="344" max="344" width="26" bestFit="1" customWidth="1"/>
    <col min="345" max="345" width="16.3984375" customWidth="1"/>
    <col min="346" max="346" width="26" bestFit="1" customWidth="1"/>
    <col min="347" max="347" width="16.3984375" customWidth="1"/>
    <col min="348" max="348" width="26" bestFit="1" customWidth="1"/>
    <col min="349" max="349" width="16.3984375" customWidth="1"/>
    <col min="350" max="350" width="26" bestFit="1" customWidth="1"/>
    <col min="351" max="351" width="16.3984375" customWidth="1"/>
    <col min="352" max="352" width="26" bestFit="1" customWidth="1"/>
    <col min="353" max="353" width="16.3984375" customWidth="1"/>
    <col min="354" max="354" width="26" bestFit="1" customWidth="1"/>
    <col min="355" max="355" width="16.3984375" customWidth="1"/>
    <col min="356" max="356" width="26" bestFit="1" customWidth="1"/>
    <col min="357" max="357" width="16.3984375" customWidth="1"/>
    <col min="358" max="358" width="26" bestFit="1" customWidth="1"/>
    <col min="359" max="359" width="16.3984375" customWidth="1"/>
    <col min="360" max="360" width="26" bestFit="1" customWidth="1"/>
    <col min="361" max="361" width="16.3984375" customWidth="1"/>
    <col min="362" max="362" width="26" bestFit="1" customWidth="1"/>
    <col min="363" max="363" width="16.3984375" customWidth="1"/>
    <col min="364" max="364" width="26" bestFit="1" customWidth="1"/>
    <col min="365" max="365" width="16.3984375" customWidth="1"/>
    <col min="366" max="366" width="26" bestFit="1" customWidth="1"/>
    <col min="367" max="367" width="16.3984375" customWidth="1"/>
    <col min="368" max="368" width="26" bestFit="1" customWidth="1"/>
    <col min="369" max="369" width="16.3984375" customWidth="1"/>
    <col min="370" max="370" width="26" bestFit="1" customWidth="1"/>
    <col min="371" max="371" width="16.3984375" customWidth="1"/>
    <col min="372" max="372" width="26" bestFit="1" customWidth="1"/>
    <col min="373" max="373" width="16.3984375" customWidth="1"/>
    <col min="374" max="374" width="26" bestFit="1" customWidth="1"/>
    <col min="375" max="375" width="16.3984375" customWidth="1"/>
    <col min="376" max="376" width="26" bestFit="1" customWidth="1"/>
    <col min="377" max="377" width="16.3984375" customWidth="1"/>
    <col min="378" max="378" width="26" bestFit="1" customWidth="1"/>
    <col min="379" max="379" width="16.3984375" customWidth="1"/>
    <col min="380" max="380" width="26" bestFit="1" customWidth="1"/>
    <col min="381" max="381" width="16.3984375" customWidth="1"/>
    <col min="382" max="382" width="26" bestFit="1" customWidth="1"/>
    <col min="383" max="383" width="16.3984375" customWidth="1"/>
    <col min="384" max="384" width="26" bestFit="1" customWidth="1"/>
    <col min="385" max="385" width="16.3984375" customWidth="1"/>
    <col min="386" max="386" width="26" bestFit="1" customWidth="1"/>
    <col min="387" max="387" width="16.3984375" customWidth="1"/>
    <col min="388" max="388" width="26" bestFit="1" customWidth="1"/>
    <col min="389" max="389" width="16.3984375" customWidth="1"/>
    <col min="390" max="390" width="26" bestFit="1" customWidth="1"/>
    <col min="391" max="391" width="16.3984375" customWidth="1"/>
    <col min="392" max="392" width="26" bestFit="1" customWidth="1"/>
    <col min="393" max="393" width="16.3984375" customWidth="1"/>
    <col min="394" max="394" width="26" bestFit="1" customWidth="1"/>
    <col min="395" max="395" width="16.3984375" customWidth="1"/>
    <col min="396" max="396" width="26" bestFit="1" customWidth="1"/>
    <col min="397" max="397" width="16.3984375" customWidth="1"/>
    <col min="398" max="398" width="26" bestFit="1" customWidth="1"/>
    <col min="399" max="399" width="16.3984375" customWidth="1"/>
    <col min="400" max="400" width="26" bestFit="1" customWidth="1"/>
    <col min="401" max="401" width="16.3984375" customWidth="1"/>
    <col min="402" max="402" width="26" bestFit="1" customWidth="1"/>
    <col min="403" max="403" width="16.3984375" customWidth="1"/>
    <col min="404" max="404" width="26" bestFit="1" customWidth="1"/>
    <col min="405" max="405" width="16.3984375" customWidth="1"/>
    <col min="406" max="406" width="26" bestFit="1" customWidth="1"/>
    <col min="407" max="407" width="16.3984375" customWidth="1"/>
    <col min="408" max="408" width="26" bestFit="1" customWidth="1"/>
    <col min="409" max="409" width="16.3984375" customWidth="1"/>
    <col min="410" max="410" width="26" bestFit="1" customWidth="1"/>
    <col min="411" max="411" width="16.3984375" customWidth="1"/>
    <col min="412" max="412" width="26" bestFit="1" customWidth="1"/>
    <col min="413" max="413" width="16.3984375" customWidth="1"/>
    <col min="414" max="414" width="26" bestFit="1" customWidth="1"/>
    <col min="415" max="415" width="16.3984375" customWidth="1"/>
    <col min="416" max="416" width="26" bestFit="1" customWidth="1"/>
    <col min="417" max="417" width="16.3984375" customWidth="1"/>
    <col min="418" max="418" width="26" bestFit="1" customWidth="1"/>
    <col min="419" max="419" width="16.3984375" customWidth="1"/>
    <col min="420" max="420" width="26" bestFit="1" customWidth="1"/>
    <col min="421" max="421" width="16.3984375" customWidth="1"/>
    <col min="422" max="422" width="26" bestFit="1" customWidth="1"/>
    <col min="423" max="423" width="16.3984375" customWidth="1"/>
    <col min="424" max="424" width="26" bestFit="1" customWidth="1"/>
    <col min="425" max="425" width="16.3984375" customWidth="1"/>
    <col min="426" max="426" width="26" bestFit="1" customWidth="1"/>
    <col min="427" max="427" width="16.3984375" customWidth="1"/>
    <col min="428" max="428" width="26" bestFit="1" customWidth="1"/>
    <col min="429" max="429" width="16.3984375" customWidth="1"/>
    <col min="430" max="430" width="26" bestFit="1" customWidth="1"/>
    <col min="431" max="431" width="16.3984375" customWidth="1"/>
    <col min="432" max="432" width="26" bestFit="1" customWidth="1"/>
    <col min="433" max="433" width="16.3984375" customWidth="1"/>
    <col min="434" max="434" width="26" bestFit="1" customWidth="1"/>
    <col min="435" max="435" width="16.3984375" customWidth="1"/>
    <col min="436" max="436" width="26" bestFit="1" customWidth="1"/>
    <col min="437" max="437" width="16.3984375" customWidth="1"/>
    <col min="438" max="438" width="26" bestFit="1" customWidth="1"/>
    <col min="439" max="439" width="16.3984375" customWidth="1"/>
    <col min="440" max="440" width="26" bestFit="1" customWidth="1"/>
    <col min="441" max="441" width="16.3984375" customWidth="1"/>
    <col min="442" max="442" width="26" bestFit="1" customWidth="1"/>
    <col min="443" max="443" width="16.3984375" customWidth="1"/>
    <col min="444" max="444" width="26" bestFit="1" customWidth="1"/>
    <col min="445" max="445" width="16.3984375" customWidth="1"/>
    <col min="446" max="446" width="26" bestFit="1" customWidth="1"/>
    <col min="447" max="447" width="16.3984375" customWidth="1"/>
    <col min="448" max="448" width="26" bestFit="1" customWidth="1"/>
    <col min="449" max="449" width="16.3984375" customWidth="1"/>
    <col min="450" max="450" width="26" bestFit="1" customWidth="1"/>
    <col min="451" max="451" width="16.3984375" customWidth="1"/>
    <col min="452" max="452" width="26" bestFit="1" customWidth="1"/>
    <col min="453" max="453" width="16.3984375" customWidth="1"/>
    <col min="454" max="454" width="26" bestFit="1" customWidth="1"/>
    <col min="455" max="455" width="16.3984375" customWidth="1"/>
    <col min="456" max="456" width="26" bestFit="1" customWidth="1"/>
    <col min="457" max="457" width="16.3984375" customWidth="1"/>
    <col min="458" max="458" width="26" bestFit="1" customWidth="1"/>
    <col min="459" max="459" width="16.3984375" customWidth="1"/>
    <col min="460" max="460" width="26" bestFit="1" customWidth="1"/>
    <col min="461" max="461" width="16.3984375" customWidth="1"/>
    <col min="462" max="462" width="26" bestFit="1" customWidth="1"/>
    <col min="463" max="463" width="16.3984375" customWidth="1"/>
    <col min="464" max="464" width="26" bestFit="1" customWidth="1"/>
    <col min="465" max="465" width="16.3984375" customWidth="1"/>
    <col min="466" max="466" width="26" bestFit="1" customWidth="1"/>
    <col min="467" max="467" width="16.3984375" customWidth="1"/>
    <col min="468" max="468" width="26" bestFit="1" customWidth="1"/>
    <col min="469" max="469" width="16.3984375" customWidth="1"/>
    <col min="470" max="470" width="30.5" bestFit="1" customWidth="1"/>
    <col min="471" max="471" width="20.8984375" customWidth="1"/>
  </cols>
  <sheetData>
    <row r="1" spans="1:9" x14ac:dyDescent="0.3">
      <c r="A1" t="s">
        <v>245</v>
      </c>
    </row>
    <row r="2" spans="1:9" x14ac:dyDescent="0.3">
      <c r="B2" s="188" t="s">
        <v>183</v>
      </c>
    </row>
    <row r="3" spans="1:9" x14ac:dyDescent="0.3">
      <c r="A3" s="188" t="s">
        <v>181</v>
      </c>
      <c r="B3" s="473" t="s">
        <v>379</v>
      </c>
      <c r="C3" s="473" t="s">
        <v>380</v>
      </c>
      <c r="D3" s="473" t="s">
        <v>381</v>
      </c>
      <c r="E3" s="473" t="s">
        <v>382</v>
      </c>
      <c r="F3" s="473" t="s">
        <v>383</v>
      </c>
      <c r="G3" s="473" t="s">
        <v>384</v>
      </c>
      <c r="H3" s="473" t="s">
        <v>385</v>
      </c>
      <c r="I3" s="473" t="s">
        <v>386</v>
      </c>
    </row>
    <row r="4" spans="1:9" x14ac:dyDescent="0.3">
      <c r="A4" s="444">
        <v>1</v>
      </c>
      <c r="B4" s="189">
        <v>9102</v>
      </c>
      <c r="C4" s="189">
        <v>3851</v>
      </c>
      <c r="D4" s="189">
        <v>5251</v>
      </c>
      <c r="E4" s="189">
        <v>4510</v>
      </c>
      <c r="F4" s="189">
        <v>630</v>
      </c>
      <c r="G4" s="189">
        <v>99</v>
      </c>
      <c r="H4" s="189">
        <v>380</v>
      </c>
      <c r="I4" s="189">
        <v>102</v>
      </c>
    </row>
    <row r="5" spans="1:9" x14ac:dyDescent="0.3">
      <c r="A5" s="444">
        <v>2</v>
      </c>
      <c r="B5" s="189">
        <v>14734</v>
      </c>
      <c r="C5" s="189">
        <v>6396</v>
      </c>
      <c r="D5" s="189">
        <v>8338</v>
      </c>
      <c r="E5" s="189">
        <v>6971</v>
      </c>
      <c r="F5" s="189">
        <v>1048</v>
      </c>
      <c r="G5" s="189">
        <v>173</v>
      </c>
      <c r="H5" s="189">
        <v>989</v>
      </c>
      <c r="I5" s="189">
        <v>222</v>
      </c>
    </row>
    <row r="6" spans="1:9" x14ac:dyDescent="0.3">
      <c r="A6" s="444">
        <v>3</v>
      </c>
      <c r="B6" s="189">
        <v>11167</v>
      </c>
      <c r="C6" s="189">
        <v>6006</v>
      </c>
      <c r="D6" s="189">
        <v>5161</v>
      </c>
      <c r="E6" s="189">
        <v>4838</v>
      </c>
      <c r="F6" s="189">
        <v>250</v>
      </c>
      <c r="G6" s="189">
        <v>75</v>
      </c>
      <c r="H6" s="189">
        <v>366</v>
      </c>
      <c r="I6" s="189">
        <v>74</v>
      </c>
    </row>
    <row r="7" spans="1:9" x14ac:dyDescent="0.3">
      <c r="A7" s="444">
        <v>4</v>
      </c>
      <c r="B7" s="189">
        <v>18315</v>
      </c>
      <c r="C7" s="189">
        <v>5543</v>
      </c>
      <c r="D7" s="189">
        <v>12772</v>
      </c>
      <c r="E7" s="189">
        <v>11442</v>
      </c>
      <c r="F7" s="189">
        <v>1124</v>
      </c>
      <c r="G7" s="189">
        <v>420</v>
      </c>
      <c r="H7" s="189">
        <v>758</v>
      </c>
      <c r="I7" s="189">
        <v>144</v>
      </c>
    </row>
    <row r="8" spans="1:9" x14ac:dyDescent="0.3">
      <c r="A8" s="444">
        <v>5</v>
      </c>
      <c r="B8" s="189">
        <v>35395</v>
      </c>
      <c r="C8" s="189">
        <v>14750</v>
      </c>
      <c r="D8" s="189">
        <v>20645</v>
      </c>
      <c r="E8" s="189">
        <v>18490</v>
      </c>
      <c r="F8" s="189">
        <v>1813</v>
      </c>
      <c r="G8" s="189">
        <v>357</v>
      </c>
      <c r="H8" s="189">
        <v>1606</v>
      </c>
      <c r="I8" s="189">
        <v>373</v>
      </c>
    </row>
    <row r="9" spans="1:9" x14ac:dyDescent="0.3">
      <c r="A9" s="444">
        <v>6</v>
      </c>
      <c r="B9" s="189">
        <v>18400</v>
      </c>
      <c r="C9" s="189">
        <v>9480</v>
      </c>
      <c r="D9" s="189">
        <v>8920</v>
      </c>
      <c r="E9" s="189">
        <v>7415</v>
      </c>
      <c r="F9" s="189">
        <v>1326</v>
      </c>
      <c r="G9" s="189">
        <v>210</v>
      </c>
      <c r="H9" s="189">
        <v>586</v>
      </c>
      <c r="I9" s="189">
        <v>73</v>
      </c>
    </row>
    <row r="10" spans="1:9" x14ac:dyDescent="0.3">
      <c r="A10" s="444">
        <v>7</v>
      </c>
      <c r="B10" s="189">
        <v>13740</v>
      </c>
      <c r="C10" s="189">
        <v>6704</v>
      </c>
      <c r="D10" s="189">
        <v>7036</v>
      </c>
      <c r="E10" s="189">
        <v>5834</v>
      </c>
      <c r="F10" s="189">
        <v>1016</v>
      </c>
      <c r="G10" s="189">
        <v>135</v>
      </c>
      <c r="H10" s="189">
        <v>735</v>
      </c>
      <c r="I10" s="189">
        <v>228</v>
      </c>
    </row>
    <row r="11" spans="1:9" x14ac:dyDescent="0.3">
      <c r="A11" s="444">
        <v>8</v>
      </c>
      <c r="B11" s="189">
        <v>13733</v>
      </c>
      <c r="C11" s="189">
        <v>2883</v>
      </c>
      <c r="D11" s="189">
        <v>10850</v>
      </c>
      <c r="E11" s="189">
        <v>10240</v>
      </c>
      <c r="F11" s="189">
        <v>510</v>
      </c>
      <c r="G11" s="189">
        <v>78</v>
      </c>
      <c r="H11" s="189">
        <v>320</v>
      </c>
      <c r="I11" s="189">
        <v>68</v>
      </c>
    </row>
    <row r="12" spans="1:9" x14ac:dyDescent="0.3">
      <c r="A12" s="444">
        <v>9</v>
      </c>
      <c r="B12" s="189">
        <v>11344</v>
      </c>
      <c r="C12" s="189">
        <v>3389</v>
      </c>
      <c r="D12" s="189">
        <v>7955</v>
      </c>
      <c r="E12" s="189">
        <v>7182</v>
      </c>
      <c r="F12" s="189">
        <v>560</v>
      </c>
      <c r="G12" s="189">
        <v>210</v>
      </c>
      <c r="H12" s="189">
        <v>596</v>
      </c>
      <c r="I12" s="189">
        <v>290</v>
      </c>
    </row>
    <row r="13" spans="1:9" x14ac:dyDescent="0.3">
      <c r="A13" s="444">
        <v>10</v>
      </c>
      <c r="B13" s="189">
        <v>6821</v>
      </c>
      <c r="C13" s="189">
        <v>1620</v>
      </c>
      <c r="D13" s="189">
        <v>5201</v>
      </c>
      <c r="E13" s="189">
        <v>4016</v>
      </c>
      <c r="F13" s="189">
        <v>1019</v>
      </c>
      <c r="G13" s="189">
        <v>118</v>
      </c>
      <c r="H13" s="189">
        <v>595</v>
      </c>
      <c r="I13" s="189">
        <v>77</v>
      </c>
    </row>
    <row r="14" spans="1:9" x14ac:dyDescent="0.3">
      <c r="A14" s="444">
        <v>11</v>
      </c>
      <c r="B14" s="189">
        <v>10103</v>
      </c>
      <c r="C14" s="189">
        <v>3335</v>
      </c>
      <c r="D14" s="189">
        <v>6768</v>
      </c>
      <c r="E14" s="189">
        <v>6452</v>
      </c>
      <c r="F14" s="189">
        <v>254</v>
      </c>
      <c r="G14" s="189">
        <v>62</v>
      </c>
      <c r="H14" s="189">
        <v>133</v>
      </c>
      <c r="I14" s="189">
        <v>41</v>
      </c>
    </row>
    <row r="15" spans="1:9" x14ac:dyDescent="0.3">
      <c r="A15" s="444">
        <v>12</v>
      </c>
      <c r="B15" s="189">
        <v>12133</v>
      </c>
      <c r="C15" s="189">
        <v>6348</v>
      </c>
      <c r="D15" s="189">
        <v>5785</v>
      </c>
      <c r="E15" s="189">
        <v>4674</v>
      </c>
      <c r="F15" s="189">
        <v>994</v>
      </c>
      <c r="G15" s="189">
        <v>105</v>
      </c>
      <c r="H15" s="189">
        <v>452</v>
      </c>
      <c r="I15" s="189">
        <v>130</v>
      </c>
    </row>
    <row r="16" spans="1:9" x14ac:dyDescent="0.3">
      <c r="A16" s="48" t="s">
        <v>182</v>
      </c>
      <c r="B16" s="189">
        <v>174987</v>
      </c>
      <c r="C16" s="189">
        <v>70305</v>
      </c>
      <c r="D16" s="189">
        <v>104682</v>
      </c>
      <c r="E16" s="189">
        <v>92064</v>
      </c>
      <c r="F16" s="189">
        <v>10544</v>
      </c>
      <c r="G16" s="189">
        <v>2042</v>
      </c>
      <c r="H16" s="189">
        <v>7516</v>
      </c>
      <c r="I16" s="189">
        <v>1822</v>
      </c>
    </row>
    <row r="19" spans="1:5" x14ac:dyDescent="0.3">
      <c r="A19" t="s">
        <v>93</v>
      </c>
    </row>
    <row r="20" spans="1:5" x14ac:dyDescent="0.3">
      <c r="B20" s="188" t="s">
        <v>183</v>
      </c>
    </row>
    <row r="21" spans="1:5" x14ac:dyDescent="0.3">
      <c r="A21" s="188" t="s">
        <v>181</v>
      </c>
      <c r="B21" s="473" t="s">
        <v>246</v>
      </c>
      <c r="C21" s="473" t="s">
        <v>247</v>
      </c>
      <c r="D21" s="473" t="s">
        <v>248</v>
      </c>
      <c r="E21" s="473" t="s">
        <v>249</v>
      </c>
    </row>
    <row r="22" spans="1:5" x14ac:dyDescent="0.3">
      <c r="A22" s="48">
        <v>1</v>
      </c>
      <c r="B22" s="189">
        <v>3888</v>
      </c>
      <c r="C22" s="189">
        <v>2274</v>
      </c>
      <c r="D22" s="189">
        <v>611</v>
      </c>
      <c r="E22" s="189">
        <v>41</v>
      </c>
    </row>
    <row r="23" spans="1:5" x14ac:dyDescent="0.3">
      <c r="A23" s="48">
        <v>2</v>
      </c>
      <c r="B23" s="189">
        <v>6418</v>
      </c>
      <c r="C23" s="189">
        <v>3031</v>
      </c>
      <c r="D23" s="189">
        <v>302</v>
      </c>
      <c r="E23" s="189">
        <v>177</v>
      </c>
    </row>
    <row r="24" spans="1:5" x14ac:dyDescent="0.3">
      <c r="A24" s="48">
        <v>3</v>
      </c>
      <c r="B24" s="189">
        <v>3977</v>
      </c>
      <c r="C24" s="189">
        <v>2926</v>
      </c>
      <c r="D24" s="189">
        <v>325</v>
      </c>
      <c r="E24" s="189">
        <v>120</v>
      </c>
    </row>
    <row r="25" spans="1:5" x14ac:dyDescent="0.3">
      <c r="A25" s="48">
        <v>4</v>
      </c>
      <c r="B25" s="189">
        <v>8456</v>
      </c>
      <c r="C25" s="189">
        <v>3436</v>
      </c>
      <c r="D25" s="189">
        <v>652</v>
      </c>
      <c r="E25" s="189">
        <v>324</v>
      </c>
    </row>
    <row r="26" spans="1:5" x14ac:dyDescent="0.3">
      <c r="A26" s="48">
        <v>5</v>
      </c>
      <c r="B26" s="189">
        <v>12312</v>
      </c>
      <c r="C26" s="189">
        <v>6770</v>
      </c>
      <c r="D26" s="189">
        <v>1481</v>
      </c>
      <c r="E26" s="189">
        <v>625</v>
      </c>
    </row>
    <row r="27" spans="1:5" x14ac:dyDescent="0.3">
      <c r="A27" s="48">
        <v>6</v>
      </c>
      <c r="B27" s="189">
        <v>6902</v>
      </c>
      <c r="C27" s="189">
        <v>4923</v>
      </c>
      <c r="D27" s="189">
        <v>387</v>
      </c>
      <c r="E27" s="189">
        <v>127</v>
      </c>
    </row>
    <row r="28" spans="1:5" x14ac:dyDescent="0.3">
      <c r="A28" s="48">
        <v>7</v>
      </c>
      <c r="B28" s="189">
        <v>5190</v>
      </c>
      <c r="C28" s="189">
        <v>3697</v>
      </c>
      <c r="D28" s="189">
        <v>404</v>
      </c>
      <c r="E28" s="189">
        <v>57</v>
      </c>
    </row>
    <row r="29" spans="1:5" x14ac:dyDescent="0.3">
      <c r="A29" s="48">
        <v>8</v>
      </c>
      <c r="B29" s="189">
        <v>9419</v>
      </c>
      <c r="C29" s="189">
        <v>5119</v>
      </c>
      <c r="D29" s="189">
        <v>308</v>
      </c>
      <c r="E29" s="189">
        <v>166</v>
      </c>
    </row>
    <row r="30" spans="1:5" x14ac:dyDescent="0.3">
      <c r="A30" s="48">
        <v>9</v>
      </c>
      <c r="B30" s="189">
        <v>6373</v>
      </c>
      <c r="C30" s="189">
        <v>4851</v>
      </c>
      <c r="D30" s="189">
        <v>453</v>
      </c>
      <c r="E30" s="189">
        <v>651</v>
      </c>
    </row>
    <row r="31" spans="1:5" x14ac:dyDescent="0.3">
      <c r="A31" s="48">
        <v>10</v>
      </c>
      <c r="B31" s="189">
        <v>4513</v>
      </c>
      <c r="C31" s="189">
        <v>2471</v>
      </c>
      <c r="D31" s="189">
        <v>348</v>
      </c>
      <c r="E31" s="189">
        <v>450</v>
      </c>
    </row>
    <row r="32" spans="1:5" x14ac:dyDescent="0.3">
      <c r="A32" s="48">
        <v>11</v>
      </c>
      <c r="B32" s="189">
        <v>5728</v>
      </c>
      <c r="C32" s="189">
        <v>3069</v>
      </c>
      <c r="D32" s="189">
        <v>253</v>
      </c>
      <c r="E32" s="189">
        <v>525</v>
      </c>
    </row>
    <row r="33" spans="1:9" x14ac:dyDescent="0.3">
      <c r="A33" s="48">
        <v>12</v>
      </c>
      <c r="B33" s="189">
        <v>4611</v>
      </c>
      <c r="C33" s="189">
        <v>3278</v>
      </c>
      <c r="D33" s="189">
        <v>387</v>
      </c>
      <c r="E33" s="189">
        <v>2</v>
      </c>
    </row>
    <row r="34" spans="1:9" x14ac:dyDescent="0.3">
      <c r="A34" s="48" t="s">
        <v>182</v>
      </c>
      <c r="B34" s="189">
        <v>77787</v>
      </c>
      <c r="C34" s="189">
        <v>45845</v>
      </c>
      <c r="D34" s="189">
        <v>5911</v>
      </c>
      <c r="E34" s="189">
        <v>3265</v>
      </c>
    </row>
    <row r="36" spans="1:9" x14ac:dyDescent="0.3">
      <c r="A36" t="s">
        <v>18</v>
      </c>
    </row>
    <row r="37" spans="1:9" x14ac:dyDescent="0.3">
      <c r="B37" s="188" t="s">
        <v>183</v>
      </c>
    </row>
    <row r="38" spans="1:9" x14ac:dyDescent="0.3">
      <c r="A38" s="188" t="s">
        <v>181</v>
      </c>
      <c r="B38" s="473" t="s">
        <v>186</v>
      </c>
      <c r="C38" s="473" t="s">
        <v>187</v>
      </c>
      <c r="D38" s="473" t="s">
        <v>188</v>
      </c>
      <c r="E38" s="473" t="s">
        <v>191</v>
      </c>
      <c r="F38" s="473" t="s">
        <v>190</v>
      </c>
      <c r="G38" s="473" t="s">
        <v>189</v>
      </c>
      <c r="H38" s="473" t="s">
        <v>192</v>
      </c>
      <c r="I38" s="473" t="s">
        <v>193</v>
      </c>
    </row>
    <row r="39" spans="1:9" x14ac:dyDescent="0.3">
      <c r="A39" s="48">
        <v>1</v>
      </c>
      <c r="B39" s="189">
        <v>638</v>
      </c>
      <c r="C39" s="189">
        <v>895</v>
      </c>
      <c r="D39" s="189">
        <v>428</v>
      </c>
      <c r="E39" s="189">
        <v>588</v>
      </c>
      <c r="F39" s="189">
        <v>91</v>
      </c>
      <c r="G39" s="189">
        <v>132</v>
      </c>
      <c r="H39" s="189">
        <v>91</v>
      </c>
      <c r="I39" s="189">
        <v>168</v>
      </c>
    </row>
    <row r="40" spans="1:9" x14ac:dyDescent="0.3">
      <c r="A40" s="48">
        <v>2</v>
      </c>
      <c r="B40" s="189">
        <v>1948</v>
      </c>
      <c r="C40" s="189">
        <v>1776</v>
      </c>
      <c r="D40" s="189">
        <v>1022</v>
      </c>
      <c r="E40" s="189">
        <v>1542</v>
      </c>
      <c r="F40" s="189">
        <v>83</v>
      </c>
      <c r="G40" s="189">
        <v>131</v>
      </c>
      <c r="H40" s="189">
        <v>126</v>
      </c>
      <c r="I40" s="189">
        <v>161</v>
      </c>
    </row>
    <row r="41" spans="1:9" x14ac:dyDescent="0.3">
      <c r="A41" s="48">
        <v>3</v>
      </c>
      <c r="B41" s="189">
        <v>603</v>
      </c>
      <c r="C41" s="189">
        <v>904</v>
      </c>
      <c r="D41" s="189">
        <v>440</v>
      </c>
      <c r="E41" s="189">
        <v>581</v>
      </c>
      <c r="F41" s="189">
        <v>65</v>
      </c>
      <c r="G41" s="189">
        <v>70</v>
      </c>
      <c r="H41" s="189">
        <v>76</v>
      </c>
      <c r="I41" s="189">
        <v>81</v>
      </c>
    </row>
    <row r="42" spans="1:9" x14ac:dyDescent="0.3">
      <c r="A42" s="48">
        <v>4</v>
      </c>
      <c r="B42" s="189">
        <v>1633</v>
      </c>
      <c r="C42" s="189">
        <v>1714</v>
      </c>
      <c r="D42" s="189">
        <v>1333</v>
      </c>
      <c r="E42" s="189">
        <v>1453</v>
      </c>
      <c r="F42" s="189">
        <v>156</v>
      </c>
      <c r="G42" s="189">
        <v>193</v>
      </c>
      <c r="H42" s="189">
        <v>211</v>
      </c>
      <c r="I42" s="189">
        <v>167</v>
      </c>
    </row>
    <row r="43" spans="1:9" x14ac:dyDescent="0.3">
      <c r="A43" s="48">
        <v>5</v>
      </c>
      <c r="B43" s="189">
        <v>2944</v>
      </c>
      <c r="C43" s="189">
        <v>3123</v>
      </c>
      <c r="D43" s="189">
        <v>2020</v>
      </c>
      <c r="E43" s="189">
        <v>2136</v>
      </c>
      <c r="F43" s="189">
        <v>345</v>
      </c>
      <c r="G43" s="189">
        <v>354</v>
      </c>
      <c r="H43" s="189">
        <v>251</v>
      </c>
      <c r="I43" s="189">
        <v>329</v>
      </c>
    </row>
    <row r="44" spans="1:9" x14ac:dyDescent="0.3">
      <c r="A44" s="48">
        <v>6</v>
      </c>
      <c r="B44" s="189">
        <v>1724</v>
      </c>
      <c r="C44" s="189">
        <v>1707</v>
      </c>
      <c r="D44" s="189">
        <v>641</v>
      </c>
      <c r="E44" s="189">
        <v>873</v>
      </c>
      <c r="F44" s="189">
        <v>40</v>
      </c>
      <c r="G44" s="189">
        <v>101</v>
      </c>
      <c r="H44" s="189">
        <v>65</v>
      </c>
      <c r="I44" s="189">
        <v>160</v>
      </c>
    </row>
    <row r="45" spans="1:9" x14ac:dyDescent="0.3">
      <c r="A45" s="48">
        <v>7</v>
      </c>
      <c r="B45" s="189">
        <v>1363</v>
      </c>
      <c r="C45" s="189">
        <v>2006</v>
      </c>
      <c r="D45" s="189">
        <v>762</v>
      </c>
      <c r="E45" s="189">
        <v>1161</v>
      </c>
      <c r="F45" s="189">
        <v>151</v>
      </c>
      <c r="G45" s="189">
        <v>218</v>
      </c>
      <c r="H45" s="189">
        <v>186</v>
      </c>
      <c r="I45" s="189">
        <v>316</v>
      </c>
    </row>
    <row r="46" spans="1:9" x14ac:dyDescent="0.3">
      <c r="A46" s="48">
        <v>8</v>
      </c>
      <c r="B46" s="189">
        <v>598</v>
      </c>
      <c r="C46" s="189">
        <v>768</v>
      </c>
      <c r="D46" s="189">
        <v>483</v>
      </c>
      <c r="E46" s="189">
        <v>642</v>
      </c>
      <c r="F46" s="189">
        <v>71</v>
      </c>
      <c r="G46" s="189">
        <v>102</v>
      </c>
      <c r="H46" s="189">
        <v>77</v>
      </c>
      <c r="I46" s="189">
        <v>117</v>
      </c>
    </row>
    <row r="47" spans="1:9" x14ac:dyDescent="0.3">
      <c r="A47" s="48">
        <v>9</v>
      </c>
      <c r="B47" s="189">
        <v>895</v>
      </c>
      <c r="C47" s="189">
        <v>1003</v>
      </c>
      <c r="D47" s="189">
        <v>584</v>
      </c>
      <c r="E47" s="189">
        <v>760</v>
      </c>
      <c r="F47" s="189">
        <v>83</v>
      </c>
      <c r="G47" s="189">
        <v>109</v>
      </c>
      <c r="H47" s="189">
        <v>83</v>
      </c>
      <c r="I47" s="189">
        <v>76</v>
      </c>
    </row>
    <row r="48" spans="1:9" x14ac:dyDescent="0.3">
      <c r="A48" s="48">
        <v>10</v>
      </c>
      <c r="B48" s="189">
        <v>4558</v>
      </c>
      <c r="C48" s="189">
        <v>4823</v>
      </c>
      <c r="D48" s="189">
        <v>378</v>
      </c>
      <c r="E48" s="189">
        <v>478</v>
      </c>
      <c r="F48" s="189">
        <v>64</v>
      </c>
      <c r="G48" s="189">
        <v>70</v>
      </c>
      <c r="H48" s="189">
        <v>61</v>
      </c>
      <c r="I48" s="189">
        <v>80</v>
      </c>
    </row>
    <row r="49" spans="1:9" x14ac:dyDescent="0.3">
      <c r="A49" s="48">
        <v>11</v>
      </c>
      <c r="B49" s="189">
        <v>435</v>
      </c>
      <c r="C49" s="189">
        <v>428</v>
      </c>
      <c r="D49" s="189">
        <v>337</v>
      </c>
      <c r="E49" s="189">
        <v>344</v>
      </c>
      <c r="F49" s="189">
        <v>125</v>
      </c>
      <c r="G49" s="189">
        <v>109</v>
      </c>
      <c r="H49" s="189">
        <v>41</v>
      </c>
      <c r="I49" s="189">
        <v>71</v>
      </c>
    </row>
    <row r="50" spans="1:9" x14ac:dyDescent="0.3">
      <c r="A50" s="48">
        <v>12</v>
      </c>
      <c r="B50" s="189">
        <v>1114</v>
      </c>
      <c r="C50" s="189">
        <v>1589</v>
      </c>
      <c r="D50" s="189">
        <v>796</v>
      </c>
      <c r="E50" s="189">
        <v>924</v>
      </c>
      <c r="F50" s="189">
        <v>142</v>
      </c>
      <c r="G50" s="189">
        <v>194</v>
      </c>
      <c r="H50" s="189">
        <v>133</v>
      </c>
      <c r="I50" s="189">
        <v>128</v>
      </c>
    </row>
    <row r="51" spans="1:9" x14ac:dyDescent="0.3">
      <c r="A51" s="48" t="s">
        <v>182</v>
      </c>
      <c r="B51" s="189">
        <v>18453</v>
      </c>
      <c r="C51" s="189">
        <v>20736</v>
      </c>
      <c r="D51" s="189">
        <v>9224</v>
      </c>
      <c r="E51" s="189">
        <v>11482</v>
      </c>
      <c r="F51" s="189">
        <v>1416</v>
      </c>
      <c r="G51" s="189">
        <v>1783</v>
      </c>
      <c r="H51" s="189">
        <v>1401</v>
      </c>
      <c r="I51" s="189">
        <v>1854</v>
      </c>
    </row>
    <row r="53" spans="1:9" x14ac:dyDescent="0.3">
      <c r="A53" t="s">
        <v>94</v>
      </c>
    </row>
    <row r="54" spans="1:9" x14ac:dyDescent="0.3">
      <c r="B54" s="188" t="s">
        <v>183</v>
      </c>
    </row>
    <row r="55" spans="1:9" x14ac:dyDescent="0.3">
      <c r="A55" s="188" t="s">
        <v>181</v>
      </c>
      <c r="B55" s="473" t="s">
        <v>234</v>
      </c>
      <c r="C55" s="473" t="s">
        <v>233</v>
      </c>
      <c r="D55" s="473" t="s">
        <v>235</v>
      </c>
      <c r="E55" s="473" t="s">
        <v>236</v>
      </c>
      <c r="F55" s="473" t="s">
        <v>729</v>
      </c>
      <c r="G55" s="473" t="s">
        <v>730</v>
      </c>
    </row>
    <row r="56" spans="1:9" x14ac:dyDescent="0.3">
      <c r="A56" s="48">
        <v>1</v>
      </c>
      <c r="B56" s="189">
        <v>552</v>
      </c>
      <c r="C56" s="189">
        <v>1018</v>
      </c>
      <c r="D56" s="189">
        <v>421</v>
      </c>
      <c r="E56" s="189">
        <v>638</v>
      </c>
      <c r="F56" s="189">
        <v>783</v>
      </c>
      <c r="G56" s="189">
        <v>977</v>
      </c>
    </row>
    <row r="57" spans="1:9" x14ac:dyDescent="0.3">
      <c r="A57" s="48">
        <v>2</v>
      </c>
      <c r="B57" s="189">
        <v>594</v>
      </c>
      <c r="C57" s="189">
        <v>1097</v>
      </c>
      <c r="D57" s="189">
        <v>1039</v>
      </c>
      <c r="E57" s="189">
        <v>1405</v>
      </c>
      <c r="F57" s="189">
        <v>1074</v>
      </c>
      <c r="G57" s="189">
        <v>1031</v>
      </c>
    </row>
    <row r="58" spans="1:9" x14ac:dyDescent="0.3">
      <c r="A58" s="48">
        <v>3</v>
      </c>
      <c r="B58" s="189">
        <v>347</v>
      </c>
      <c r="C58" s="189">
        <v>695</v>
      </c>
      <c r="D58" s="189">
        <v>657</v>
      </c>
      <c r="E58" s="189">
        <v>852</v>
      </c>
      <c r="F58" s="189">
        <v>1737</v>
      </c>
      <c r="G58" s="189">
        <v>1302</v>
      </c>
    </row>
    <row r="59" spans="1:9" x14ac:dyDescent="0.3">
      <c r="A59" s="48">
        <v>4</v>
      </c>
      <c r="B59" s="189">
        <v>962</v>
      </c>
      <c r="C59" s="189">
        <v>1121</v>
      </c>
      <c r="D59" s="189">
        <v>967</v>
      </c>
      <c r="E59" s="189">
        <v>1445</v>
      </c>
      <c r="F59" s="189">
        <v>2028</v>
      </c>
      <c r="G59" s="189">
        <v>2988</v>
      </c>
    </row>
    <row r="60" spans="1:9" x14ac:dyDescent="0.3">
      <c r="A60" s="48">
        <v>5</v>
      </c>
      <c r="B60" s="189">
        <v>912</v>
      </c>
      <c r="C60" s="189">
        <v>1306</v>
      </c>
      <c r="D60" s="189">
        <v>1064</v>
      </c>
      <c r="E60" s="189">
        <v>1442</v>
      </c>
      <c r="F60" s="189">
        <v>8072</v>
      </c>
      <c r="G60" s="189">
        <v>7966</v>
      </c>
    </row>
    <row r="61" spans="1:9" x14ac:dyDescent="0.3">
      <c r="A61" s="48">
        <v>6</v>
      </c>
      <c r="B61" s="189">
        <v>319</v>
      </c>
      <c r="C61" s="189">
        <v>751</v>
      </c>
      <c r="D61" s="189">
        <v>932</v>
      </c>
      <c r="E61" s="189">
        <v>1269</v>
      </c>
      <c r="F61" s="189">
        <v>1396</v>
      </c>
      <c r="G61" s="189">
        <v>1463</v>
      </c>
    </row>
    <row r="62" spans="1:9" x14ac:dyDescent="0.3">
      <c r="A62" s="48">
        <v>7</v>
      </c>
      <c r="B62" s="189">
        <v>501</v>
      </c>
      <c r="C62" s="189">
        <v>977</v>
      </c>
      <c r="D62" s="189">
        <v>474</v>
      </c>
      <c r="E62" s="189">
        <v>729</v>
      </c>
      <c r="F62" s="189">
        <v>830</v>
      </c>
      <c r="G62" s="189">
        <v>824</v>
      </c>
    </row>
    <row r="63" spans="1:9" x14ac:dyDescent="0.3">
      <c r="A63" s="48">
        <v>8</v>
      </c>
      <c r="B63" s="189">
        <v>1786</v>
      </c>
      <c r="C63" s="189">
        <v>922</v>
      </c>
      <c r="D63" s="189">
        <v>795</v>
      </c>
      <c r="E63" s="189">
        <v>728</v>
      </c>
      <c r="F63" s="189">
        <v>821</v>
      </c>
      <c r="G63" s="189">
        <v>675</v>
      </c>
    </row>
    <row r="64" spans="1:9" x14ac:dyDescent="0.3">
      <c r="A64" s="48">
        <v>9</v>
      </c>
      <c r="B64" s="189">
        <v>868</v>
      </c>
      <c r="C64" s="189">
        <v>1020</v>
      </c>
      <c r="D64" s="189">
        <v>597</v>
      </c>
      <c r="E64" s="189">
        <v>682</v>
      </c>
      <c r="F64" s="189">
        <v>669</v>
      </c>
      <c r="G64" s="189">
        <v>725</v>
      </c>
    </row>
    <row r="65" spans="1:12" x14ac:dyDescent="0.3">
      <c r="A65" s="48">
        <v>10</v>
      </c>
      <c r="B65" s="189">
        <v>655</v>
      </c>
      <c r="C65" s="189">
        <v>411</v>
      </c>
      <c r="D65" s="189">
        <v>751</v>
      </c>
      <c r="E65" s="189">
        <v>900</v>
      </c>
      <c r="F65" s="189">
        <v>249</v>
      </c>
      <c r="G65" s="189">
        <v>372</v>
      </c>
    </row>
    <row r="66" spans="1:12" x14ac:dyDescent="0.3">
      <c r="A66" s="48">
        <v>11</v>
      </c>
      <c r="B66" s="189">
        <v>930</v>
      </c>
      <c r="C66" s="189">
        <v>828</v>
      </c>
      <c r="D66" s="189">
        <v>600</v>
      </c>
      <c r="E66" s="189">
        <v>626</v>
      </c>
      <c r="F66" s="189">
        <v>762</v>
      </c>
      <c r="G66" s="189">
        <v>929</v>
      </c>
    </row>
    <row r="67" spans="1:12" x14ac:dyDescent="0.3">
      <c r="A67" s="48">
        <v>12</v>
      </c>
      <c r="B67" s="189">
        <v>412</v>
      </c>
      <c r="C67" s="189">
        <v>530</v>
      </c>
      <c r="D67" s="189">
        <v>425</v>
      </c>
      <c r="E67" s="189">
        <v>616</v>
      </c>
      <c r="F67" s="189">
        <v>1577</v>
      </c>
      <c r="G67" s="189">
        <v>1331</v>
      </c>
    </row>
    <row r="68" spans="1:12" x14ac:dyDescent="0.3">
      <c r="A68" s="48">
        <v>13</v>
      </c>
      <c r="B68" s="189">
        <v>230</v>
      </c>
      <c r="C68" s="189">
        <v>162</v>
      </c>
      <c r="D68" s="189">
        <v>3</v>
      </c>
      <c r="E68" s="189">
        <v>8</v>
      </c>
      <c r="F68" s="189">
        <v>500</v>
      </c>
      <c r="G68" s="189">
        <v>431</v>
      </c>
    </row>
    <row r="69" spans="1:12" x14ac:dyDescent="0.3">
      <c r="A69" s="48" t="s">
        <v>182</v>
      </c>
      <c r="B69" s="189">
        <v>9068</v>
      </c>
      <c r="C69" s="189">
        <v>10838</v>
      </c>
      <c r="D69" s="189">
        <v>8725</v>
      </c>
      <c r="E69" s="189">
        <v>11340</v>
      </c>
      <c r="F69" s="189">
        <v>20498</v>
      </c>
      <c r="G69" s="189">
        <v>21014</v>
      </c>
    </row>
    <row r="71" spans="1:12" x14ac:dyDescent="0.3">
      <c r="A71" t="s">
        <v>312</v>
      </c>
    </row>
    <row r="72" spans="1:12" x14ac:dyDescent="0.3">
      <c r="A72" s="188" t="s">
        <v>183</v>
      </c>
    </row>
    <row r="73" spans="1:12" x14ac:dyDescent="0.3">
      <c r="A73" t="s">
        <v>313</v>
      </c>
      <c r="B73" t="s">
        <v>314</v>
      </c>
      <c r="C73" t="s">
        <v>315</v>
      </c>
      <c r="D73" t="s">
        <v>316</v>
      </c>
      <c r="E73" t="s">
        <v>317</v>
      </c>
      <c r="F73" t="s">
        <v>318</v>
      </c>
      <c r="G73" t="s">
        <v>319</v>
      </c>
      <c r="H73" t="s">
        <v>320</v>
      </c>
      <c r="I73" t="s">
        <v>321</v>
      </c>
      <c r="J73" t="s">
        <v>322</v>
      </c>
      <c r="K73" t="s">
        <v>323</v>
      </c>
      <c r="L73" t="s">
        <v>324</v>
      </c>
    </row>
    <row r="74" spans="1:12" x14ac:dyDescent="0.3">
      <c r="A74" s="189">
        <v>450</v>
      </c>
      <c r="B74" s="189">
        <v>626</v>
      </c>
      <c r="C74" s="189">
        <v>234</v>
      </c>
      <c r="D74" s="189">
        <v>777</v>
      </c>
      <c r="E74" s="189">
        <v>528</v>
      </c>
      <c r="F74" s="189">
        <v>320</v>
      </c>
      <c r="G74" s="189">
        <v>343</v>
      </c>
      <c r="H74" s="189">
        <v>4150</v>
      </c>
      <c r="I74" s="189">
        <v>2568</v>
      </c>
      <c r="J74" s="189">
        <v>401</v>
      </c>
      <c r="K74" s="189">
        <v>1515</v>
      </c>
      <c r="L74" s="189">
        <v>237</v>
      </c>
    </row>
    <row r="75" spans="1:12" x14ac:dyDescent="0.3">
      <c r="A75" s="189" t="s">
        <v>332</v>
      </c>
      <c r="B75" s="189"/>
      <c r="C75" s="189"/>
      <c r="D75" s="189"/>
      <c r="E75" s="189"/>
      <c r="F75" s="189"/>
      <c r="G75" s="189"/>
      <c r="H75" s="189"/>
      <c r="I75" s="189"/>
      <c r="J75" s="189"/>
      <c r="K75" s="189"/>
      <c r="L75" s="189"/>
    </row>
    <row r="76" spans="1:12" x14ac:dyDescent="0.3">
      <c r="A76" s="188" t="s">
        <v>183</v>
      </c>
    </row>
    <row r="77" spans="1:12" x14ac:dyDescent="0.3">
      <c r="A77" t="s">
        <v>313</v>
      </c>
      <c r="B77" t="s">
        <v>314</v>
      </c>
      <c r="C77" t="s">
        <v>315</v>
      </c>
      <c r="D77" t="s">
        <v>316</v>
      </c>
      <c r="E77" t="s">
        <v>317</v>
      </c>
      <c r="F77" t="s">
        <v>318</v>
      </c>
      <c r="G77" t="s">
        <v>319</v>
      </c>
      <c r="H77" t="s">
        <v>320</v>
      </c>
      <c r="I77" t="s">
        <v>321</v>
      </c>
      <c r="J77" t="s">
        <v>322</v>
      </c>
      <c r="K77" t="s">
        <v>323</v>
      </c>
      <c r="L77" t="s">
        <v>324</v>
      </c>
    </row>
    <row r="78" spans="1:12" x14ac:dyDescent="0.3">
      <c r="A78" s="189">
        <v>470</v>
      </c>
      <c r="B78" s="189">
        <v>588</v>
      </c>
      <c r="C78" s="189">
        <v>231</v>
      </c>
      <c r="D78" s="189">
        <v>546</v>
      </c>
      <c r="E78" s="189">
        <v>654</v>
      </c>
      <c r="F78" s="189">
        <v>283</v>
      </c>
      <c r="G78" s="189">
        <v>555</v>
      </c>
      <c r="H78" s="189">
        <v>519</v>
      </c>
      <c r="I78" s="189">
        <v>544</v>
      </c>
      <c r="J78" s="189">
        <v>221</v>
      </c>
      <c r="K78" s="189">
        <v>559</v>
      </c>
      <c r="L78" s="189">
        <v>305</v>
      </c>
    </row>
    <row r="79" spans="1:12" x14ac:dyDescent="0.3">
      <c r="A79" s="189"/>
      <c r="B79" s="189"/>
      <c r="C79" s="189"/>
      <c r="D79" s="189"/>
      <c r="E79" s="189"/>
      <c r="F79" s="189"/>
      <c r="G79" s="189"/>
      <c r="H79" s="189"/>
      <c r="I79" s="189"/>
      <c r="J79" s="189"/>
      <c r="K79" s="189"/>
      <c r="L79" s="189"/>
    </row>
    <row r="80" spans="1:12" x14ac:dyDescent="0.3">
      <c r="A80" s="189"/>
      <c r="B80" s="189"/>
      <c r="C80" s="189"/>
      <c r="D80" s="189"/>
      <c r="E80" s="189"/>
      <c r="F80" s="189"/>
      <c r="G80" s="189"/>
      <c r="H80" s="189"/>
      <c r="I80" s="189"/>
      <c r="J80" s="189"/>
      <c r="K80" s="189"/>
      <c r="L80" s="189"/>
    </row>
    <row r="81" spans="1:13" x14ac:dyDescent="0.3">
      <c r="A81" s="189" t="s">
        <v>456</v>
      </c>
      <c r="B81" s="189"/>
      <c r="C81" s="189"/>
      <c r="D81" s="189"/>
      <c r="E81" s="189"/>
      <c r="F81" s="189"/>
      <c r="G81" s="189"/>
      <c r="H81" s="189"/>
      <c r="I81" s="189"/>
      <c r="J81" s="189"/>
      <c r="K81" s="189"/>
      <c r="L81" s="189"/>
    </row>
    <row r="82" spans="1:13" x14ac:dyDescent="0.3">
      <c r="B82" s="188" t="s">
        <v>183</v>
      </c>
    </row>
    <row r="83" spans="1:13" x14ac:dyDescent="0.3">
      <c r="A83" s="188" t="s">
        <v>181</v>
      </c>
      <c r="B83" s="473" t="s">
        <v>452</v>
      </c>
      <c r="C83" s="473" t="s">
        <v>453</v>
      </c>
      <c r="D83" s="473" t="s">
        <v>454</v>
      </c>
      <c r="E83" s="473" t="s">
        <v>455</v>
      </c>
      <c r="F83" s="473" t="s">
        <v>727</v>
      </c>
      <c r="G83" s="473" t="s">
        <v>728</v>
      </c>
      <c r="H83" s="473" t="s">
        <v>732</v>
      </c>
      <c r="I83" s="473" t="s">
        <v>733</v>
      </c>
    </row>
    <row r="84" spans="1:13" x14ac:dyDescent="0.3">
      <c r="A84" s="48">
        <v>1</v>
      </c>
      <c r="B84" s="189">
        <v>275</v>
      </c>
      <c r="C84" s="189">
        <v>10.91</v>
      </c>
      <c r="D84" s="189">
        <v>544</v>
      </c>
      <c r="E84" s="189">
        <v>11.48</v>
      </c>
      <c r="F84" s="189">
        <v>416</v>
      </c>
      <c r="G84" s="189">
        <v>491</v>
      </c>
      <c r="H84" s="189">
        <v>11.987848101264852</v>
      </c>
      <c r="I84" s="189">
        <v>13.570255474451312</v>
      </c>
      <c r="L84" s="48"/>
      <c r="M84" s="232"/>
    </row>
    <row r="85" spans="1:13" x14ac:dyDescent="0.3">
      <c r="A85" s="48">
        <v>2</v>
      </c>
      <c r="B85" s="189">
        <v>218</v>
      </c>
      <c r="C85" s="189">
        <v>10.85</v>
      </c>
      <c r="D85" s="189">
        <v>385</v>
      </c>
      <c r="E85" s="189">
        <v>16.63</v>
      </c>
      <c r="F85" s="189">
        <v>330</v>
      </c>
      <c r="G85" s="189">
        <v>257</v>
      </c>
      <c r="H85" s="189">
        <v>12.190973451330484</v>
      </c>
      <c r="I85" s="189">
        <v>12.624551971331449</v>
      </c>
      <c r="L85" s="48"/>
      <c r="M85" s="232"/>
    </row>
    <row r="86" spans="1:13" x14ac:dyDescent="0.3">
      <c r="A86" s="48">
        <v>3</v>
      </c>
      <c r="B86" s="189">
        <v>173</v>
      </c>
      <c r="C86" s="189">
        <v>11.24</v>
      </c>
      <c r="D86" s="189">
        <v>571</v>
      </c>
      <c r="E86" s="189">
        <v>15.99</v>
      </c>
      <c r="F86" s="189">
        <v>956</v>
      </c>
      <c r="G86" s="189">
        <v>563</v>
      </c>
      <c r="H86" s="189">
        <v>14.145812499999597</v>
      </c>
      <c r="I86" s="189">
        <v>12.464186991869058</v>
      </c>
      <c r="L86" s="48"/>
      <c r="M86" s="232"/>
    </row>
    <row r="87" spans="1:13" x14ac:dyDescent="0.3">
      <c r="A87" s="48">
        <v>4</v>
      </c>
      <c r="B87" s="189">
        <v>186</v>
      </c>
      <c r="C87" s="189">
        <v>9.66</v>
      </c>
      <c r="D87" s="189">
        <v>349</v>
      </c>
      <c r="E87" s="189">
        <v>10.53</v>
      </c>
      <c r="F87" s="189">
        <v>912</v>
      </c>
      <c r="G87" s="189">
        <v>1631</v>
      </c>
      <c r="H87" s="189">
        <v>14.041515151515304</v>
      </c>
      <c r="I87" s="189">
        <v>15.257208872453269</v>
      </c>
      <c r="L87" s="48"/>
      <c r="M87" s="232"/>
    </row>
    <row r="88" spans="1:13" x14ac:dyDescent="0.3">
      <c r="A88" s="48">
        <v>5</v>
      </c>
      <c r="B88" s="189">
        <v>212</v>
      </c>
      <c r="C88" s="189">
        <v>10.61</v>
      </c>
      <c r="D88" s="189">
        <v>182</v>
      </c>
      <c r="E88" s="189">
        <v>10.5</v>
      </c>
      <c r="F88" s="189">
        <v>3672</v>
      </c>
      <c r="G88" s="189">
        <v>3319</v>
      </c>
      <c r="H88" s="189">
        <v>15.407555555555129</v>
      </c>
      <c r="I88" s="189">
        <v>15.731979949873942</v>
      </c>
      <c r="L88" s="48"/>
      <c r="M88" s="232"/>
    </row>
    <row r="89" spans="1:13" x14ac:dyDescent="0.3">
      <c r="A89" s="48">
        <v>6</v>
      </c>
      <c r="B89" s="189">
        <v>81</v>
      </c>
      <c r="C89" s="189">
        <v>11.95</v>
      </c>
      <c r="D89" s="189">
        <v>186</v>
      </c>
      <c r="E89" s="189">
        <v>10.82</v>
      </c>
      <c r="F89" s="189">
        <v>645</v>
      </c>
      <c r="G89" s="189">
        <v>685</v>
      </c>
      <c r="H89" s="189">
        <v>14.748507462686341</v>
      </c>
      <c r="I89" s="189">
        <v>16.417532467532073</v>
      </c>
      <c r="L89" s="48"/>
      <c r="M89" s="232"/>
    </row>
    <row r="90" spans="1:13" x14ac:dyDescent="0.3">
      <c r="A90" s="48">
        <v>7</v>
      </c>
      <c r="B90" s="189">
        <v>178</v>
      </c>
      <c r="C90" s="189">
        <v>13.49</v>
      </c>
      <c r="D90" s="189">
        <v>526</v>
      </c>
      <c r="E90" s="189">
        <v>12.04</v>
      </c>
      <c r="F90" s="189">
        <v>328</v>
      </c>
      <c r="G90" s="189">
        <v>338</v>
      </c>
      <c r="H90" s="189">
        <v>14.915369458129314</v>
      </c>
      <c r="I90" s="189">
        <v>14.05456876457071</v>
      </c>
      <c r="L90" s="48"/>
      <c r="M90" s="232"/>
    </row>
    <row r="91" spans="1:13" x14ac:dyDescent="0.3">
      <c r="A91" s="48">
        <v>8</v>
      </c>
      <c r="B91" s="189">
        <v>665</v>
      </c>
      <c r="C91" s="189">
        <v>10.43</v>
      </c>
      <c r="D91" s="189">
        <v>574</v>
      </c>
      <c r="E91" s="189">
        <v>11.67</v>
      </c>
      <c r="F91" s="189">
        <v>150</v>
      </c>
      <c r="G91" s="189">
        <v>145</v>
      </c>
      <c r="H91" s="189">
        <v>13.452953216371771</v>
      </c>
      <c r="I91" s="189">
        <v>13.013647642686184</v>
      </c>
      <c r="L91" s="48"/>
      <c r="M91" s="232"/>
    </row>
    <row r="92" spans="1:13" x14ac:dyDescent="0.3">
      <c r="A92" s="48">
        <v>9</v>
      </c>
      <c r="B92" s="189">
        <v>183</v>
      </c>
      <c r="C92" s="189">
        <v>9.25</v>
      </c>
      <c r="D92" s="189">
        <v>246</v>
      </c>
      <c r="E92" s="189">
        <v>9.08</v>
      </c>
      <c r="F92" s="189">
        <v>158</v>
      </c>
      <c r="G92" s="189">
        <v>208</v>
      </c>
      <c r="H92" s="189">
        <v>10.95157534246545</v>
      </c>
      <c r="I92" s="189">
        <v>11.388695652171885</v>
      </c>
      <c r="L92" s="48"/>
      <c r="M92" s="232"/>
    </row>
    <row r="93" spans="1:13" x14ac:dyDescent="0.3">
      <c r="A93" s="48">
        <v>10</v>
      </c>
      <c r="B93" s="189">
        <v>537</v>
      </c>
      <c r="C93" s="189">
        <v>10.65</v>
      </c>
      <c r="D93" s="189">
        <v>180</v>
      </c>
      <c r="E93" s="189">
        <v>11.16</v>
      </c>
      <c r="F93" s="189">
        <v>28</v>
      </c>
      <c r="G93" s="189">
        <v>40</v>
      </c>
      <c r="H93" s="189">
        <v>11.833088803091158</v>
      </c>
      <c r="I93" s="189">
        <v>11.456655052269861</v>
      </c>
      <c r="L93" s="48"/>
      <c r="M93" s="232"/>
    </row>
    <row r="94" spans="1:13" x14ac:dyDescent="0.3">
      <c r="A94" s="48">
        <v>11</v>
      </c>
      <c r="B94" s="189">
        <v>713</v>
      </c>
      <c r="C94" s="189">
        <v>9.76</v>
      </c>
      <c r="D94" s="189">
        <v>374</v>
      </c>
      <c r="E94" s="189">
        <v>9.89</v>
      </c>
      <c r="F94" s="189">
        <v>267</v>
      </c>
      <c r="G94" s="189">
        <v>360</v>
      </c>
      <c r="H94" s="189">
        <v>12.109271844659322</v>
      </c>
      <c r="I94" s="189">
        <v>14.90764705882653</v>
      </c>
      <c r="L94" s="48"/>
      <c r="M94" s="232"/>
    </row>
    <row r="95" spans="1:13" x14ac:dyDescent="0.3">
      <c r="A95" s="48">
        <v>12</v>
      </c>
      <c r="B95" s="189">
        <v>52</v>
      </c>
      <c r="C95" s="189">
        <v>12.5</v>
      </c>
      <c r="D95" s="189">
        <v>71</v>
      </c>
      <c r="E95" s="189">
        <v>12.63</v>
      </c>
      <c r="F95" s="189">
        <v>467</v>
      </c>
      <c r="G95" s="189">
        <v>429</v>
      </c>
      <c r="H95" s="189">
        <v>11.980703517588532</v>
      </c>
      <c r="I95" s="189">
        <v>12.246512455518324</v>
      </c>
      <c r="L95" s="48"/>
      <c r="M95" s="232"/>
    </row>
    <row r="96" spans="1:13" x14ac:dyDescent="0.3">
      <c r="A96" s="48" t="s">
        <v>182</v>
      </c>
      <c r="B96" s="189">
        <v>3473</v>
      </c>
      <c r="C96" s="189">
        <v>131.30000000000001</v>
      </c>
      <c r="D96" s="189">
        <v>4188</v>
      </c>
      <c r="E96" s="189">
        <v>142.41999999999996</v>
      </c>
      <c r="F96" s="189">
        <v>8329</v>
      </c>
      <c r="G96" s="189">
        <v>8466</v>
      </c>
      <c r="H96" s="189">
        <v>157.76517440465724</v>
      </c>
      <c r="I96" s="189">
        <v>163.13344235355461</v>
      </c>
      <c r="L96" s="48"/>
      <c r="M96" s="232"/>
    </row>
    <row r="97" spans="1:13" x14ac:dyDescent="0.3">
      <c r="G97" s="48"/>
      <c r="H97" s="189"/>
      <c r="L97" s="48"/>
      <c r="M97" s="232"/>
    </row>
    <row r="100" spans="1:13" x14ac:dyDescent="0.3">
      <c r="A100" s="48"/>
      <c r="B100" s="189"/>
      <c r="C100" s="189"/>
      <c r="D100" s="189"/>
      <c r="E100" s="189"/>
      <c r="F100" s="189"/>
    </row>
    <row r="101" spans="1:13" x14ac:dyDescent="0.3">
      <c r="A101" s="48" t="s">
        <v>331</v>
      </c>
      <c r="B101" s="189"/>
      <c r="C101" s="189"/>
      <c r="D101" s="189"/>
      <c r="E101" s="189"/>
      <c r="F101" s="189"/>
      <c r="G101" s="189"/>
      <c r="H101" s="189"/>
      <c r="I101" s="189"/>
    </row>
    <row r="102" spans="1:13" x14ac:dyDescent="0.3">
      <c r="B102" s="188" t="s">
        <v>183</v>
      </c>
      <c r="G102" s="189"/>
      <c r="H102" s="189"/>
      <c r="I102" s="189"/>
    </row>
    <row r="103" spans="1:13" x14ac:dyDescent="0.3">
      <c r="A103" s="188" t="s">
        <v>181</v>
      </c>
      <c r="B103" t="s">
        <v>305</v>
      </c>
      <c r="C103" t="s">
        <v>306</v>
      </c>
      <c r="D103" t="s">
        <v>307</v>
      </c>
      <c r="E103" t="s">
        <v>308</v>
      </c>
      <c r="F103" t="s">
        <v>309</v>
      </c>
      <c r="G103" s="189"/>
      <c r="H103" s="189"/>
      <c r="I103" s="189"/>
    </row>
    <row r="104" spans="1:13" x14ac:dyDescent="0.3">
      <c r="A104" s="48">
        <v>1</v>
      </c>
      <c r="B104" s="189">
        <v>3774</v>
      </c>
      <c r="C104" s="189">
        <v>9641</v>
      </c>
      <c r="D104" s="189">
        <v>1286.1400000000001</v>
      </c>
      <c r="E104" s="189">
        <v>1570.78</v>
      </c>
      <c r="F104" s="189">
        <v>9.4142857142857146</v>
      </c>
      <c r="G104" s="189"/>
      <c r="H104" s="189"/>
      <c r="I104" s="189"/>
    </row>
    <row r="105" spans="1:13" x14ac:dyDescent="0.3">
      <c r="A105" s="48">
        <v>10</v>
      </c>
      <c r="B105" s="189">
        <v>3375</v>
      </c>
      <c r="C105" s="189">
        <v>13286</v>
      </c>
      <c r="D105" s="189">
        <v>1477.49</v>
      </c>
      <c r="E105" s="189">
        <v>1761.87</v>
      </c>
      <c r="F105" s="189">
        <v>11.009345794392523</v>
      </c>
      <c r="G105" s="189"/>
      <c r="H105" s="189"/>
      <c r="I105" s="189"/>
    </row>
    <row r="106" spans="1:13" x14ac:dyDescent="0.3">
      <c r="A106" s="48">
        <v>11</v>
      </c>
      <c r="B106" s="189">
        <v>4803</v>
      </c>
      <c r="C106" s="189">
        <v>12626</v>
      </c>
      <c r="D106" s="189">
        <v>3085.29</v>
      </c>
      <c r="E106" s="189">
        <v>3352.08</v>
      </c>
      <c r="F106" s="189">
        <v>17.14</v>
      </c>
      <c r="G106" s="189"/>
      <c r="H106" s="189"/>
      <c r="I106" s="189"/>
    </row>
    <row r="107" spans="1:13" x14ac:dyDescent="0.3">
      <c r="A107" s="48">
        <v>12</v>
      </c>
      <c r="B107" s="189">
        <v>3955</v>
      </c>
      <c r="C107" s="189">
        <v>12592</v>
      </c>
      <c r="D107" s="189">
        <v>442.23</v>
      </c>
      <c r="E107" s="189">
        <v>499.63</v>
      </c>
      <c r="F107" s="189">
        <v>15.412017167381974</v>
      </c>
      <c r="G107" s="189"/>
      <c r="H107" s="189"/>
      <c r="I107" s="189"/>
    </row>
    <row r="108" spans="1:13" x14ac:dyDescent="0.3">
      <c r="A108" s="48">
        <v>2</v>
      </c>
      <c r="B108" s="189">
        <v>5619</v>
      </c>
      <c r="C108" s="189">
        <v>17448</v>
      </c>
      <c r="D108" s="189">
        <v>1323.47</v>
      </c>
      <c r="E108" s="189">
        <v>1679.61</v>
      </c>
      <c r="F108" s="189">
        <v>14.526645768025078</v>
      </c>
      <c r="G108" s="189"/>
      <c r="H108" s="189"/>
      <c r="I108" s="189"/>
    </row>
    <row r="109" spans="1:13" x14ac:dyDescent="0.3">
      <c r="A109" s="48">
        <v>3</v>
      </c>
      <c r="B109" s="189">
        <v>4018</v>
      </c>
      <c r="C109" s="189">
        <v>9506</v>
      </c>
      <c r="D109" s="189">
        <v>961.62</v>
      </c>
      <c r="E109" s="189">
        <v>1258.54</v>
      </c>
      <c r="F109" s="189">
        <v>19.25531914893617</v>
      </c>
      <c r="G109" s="189"/>
      <c r="H109" s="189"/>
      <c r="I109" s="189"/>
    </row>
    <row r="110" spans="1:13" x14ac:dyDescent="0.3">
      <c r="A110" s="48">
        <v>4</v>
      </c>
      <c r="B110" s="189">
        <v>8427</v>
      </c>
      <c r="C110" s="189">
        <v>36093</v>
      </c>
      <c r="D110" s="189">
        <v>807.77</v>
      </c>
      <c r="E110" s="189">
        <v>1224.1400000000001</v>
      </c>
      <c r="F110" s="189">
        <v>16.872852233676976</v>
      </c>
      <c r="G110" s="189"/>
      <c r="H110" s="189"/>
      <c r="I110" s="189"/>
    </row>
    <row r="111" spans="1:13" x14ac:dyDescent="0.3">
      <c r="A111" s="48">
        <v>5</v>
      </c>
      <c r="B111" s="189">
        <v>14699</v>
      </c>
      <c r="C111" s="189">
        <v>40095</v>
      </c>
      <c r="D111" s="189">
        <v>1267.0899999999999</v>
      </c>
      <c r="E111" s="189">
        <v>1944.52</v>
      </c>
      <c r="F111" s="189">
        <v>15.708933717579251</v>
      </c>
      <c r="G111" s="189"/>
      <c r="H111" s="189"/>
      <c r="I111" s="189"/>
    </row>
    <row r="112" spans="1:13" x14ac:dyDescent="0.3">
      <c r="A112" s="48">
        <v>6</v>
      </c>
      <c r="B112" s="189">
        <v>6275</v>
      </c>
      <c r="C112" s="189">
        <v>17250</v>
      </c>
      <c r="D112" s="189">
        <v>409.74</v>
      </c>
      <c r="E112" s="189">
        <v>577.88</v>
      </c>
      <c r="F112" s="189">
        <v>15.545454545454545</v>
      </c>
      <c r="G112" s="189"/>
      <c r="H112" s="189"/>
      <c r="I112" s="189"/>
    </row>
    <row r="113" spans="1:9" x14ac:dyDescent="0.3">
      <c r="A113" s="48">
        <v>7</v>
      </c>
      <c r="B113" s="189">
        <v>4730</v>
      </c>
      <c r="C113" s="189">
        <v>14691</v>
      </c>
      <c r="D113" s="189">
        <v>1043.5999999999999</v>
      </c>
      <c r="E113" s="189">
        <v>1284.5999999999999</v>
      </c>
      <c r="F113" s="189">
        <v>14.259375</v>
      </c>
      <c r="G113" s="189"/>
      <c r="H113" s="189"/>
      <c r="I113" s="189"/>
    </row>
    <row r="114" spans="1:9" x14ac:dyDescent="0.3">
      <c r="A114" s="48">
        <v>8</v>
      </c>
      <c r="B114" s="189">
        <v>6934</v>
      </c>
      <c r="C114" s="189">
        <v>24353</v>
      </c>
      <c r="D114" s="189">
        <v>2039.11</v>
      </c>
      <c r="E114" s="189">
        <v>2387.69</v>
      </c>
      <c r="F114" s="189">
        <v>14.2</v>
      </c>
      <c r="G114" s="189"/>
      <c r="H114" s="189"/>
      <c r="I114" s="189"/>
    </row>
    <row r="115" spans="1:9" x14ac:dyDescent="0.3">
      <c r="A115" s="48">
        <v>9</v>
      </c>
      <c r="B115" s="189">
        <v>5083</v>
      </c>
      <c r="C115" s="189">
        <v>14985</v>
      </c>
      <c r="D115" s="189">
        <v>947.46</v>
      </c>
      <c r="E115" s="189">
        <v>1047.6400000000001</v>
      </c>
      <c r="F115" s="189">
        <v>22.293650793650794</v>
      </c>
      <c r="G115" s="189"/>
      <c r="H115" s="189"/>
      <c r="I115" s="189"/>
    </row>
    <row r="116" spans="1:9" x14ac:dyDescent="0.3">
      <c r="A116" s="48" t="s">
        <v>182</v>
      </c>
      <c r="B116" s="189">
        <v>71692</v>
      </c>
      <c r="C116" s="189">
        <v>222566</v>
      </c>
      <c r="D116" s="189">
        <v>15091.010000000002</v>
      </c>
      <c r="E116" s="189">
        <v>18588.979999999996</v>
      </c>
      <c r="F116" s="189">
        <v>185.63787988338302</v>
      </c>
      <c r="G116" s="189"/>
      <c r="H116" s="189"/>
      <c r="I116" s="189"/>
    </row>
    <row r="117" spans="1:9" x14ac:dyDescent="0.3">
      <c r="D117" s="189"/>
      <c r="E117" s="189"/>
      <c r="F117" s="189"/>
      <c r="G117" s="189"/>
      <c r="H117" s="189"/>
      <c r="I117" s="189"/>
    </row>
    <row r="118" spans="1:9" x14ac:dyDescent="0.3">
      <c r="D118" s="189"/>
      <c r="E118" s="189"/>
      <c r="F118" s="189"/>
      <c r="G118" s="189"/>
      <c r="H118" s="189"/>
      <c r="I118" s="189"/>
    </row>
    <row r="119" spans="1:9" x14ac:dyDescent="0.3">
      <c r="D119" s="189"/>
      <c r="E119" s="189"/>
      <c r="F119" s="189"/>
      <c r="G119" s="189"/>
      <c r="H119" s="189"/>
      <c r="I119" s="189"/>
    </row>
    <row r="120" spans="1:9" x14ac:dyDescent="0.3">
      <c r="A120" s="48"/>
      <c r="B120" s="189"/>
      <c r="C120" s="189"/>
      <c r="D120" s="189"/>
      <c r="E120" s="189"/>
      <c r="F120" s="189"/>
      <c r="G120" s="189"/>
      <c r="H120" s="189"/>
      <c r="I120" s="189"/>
    </row>
    <row r="121" spans="1:9" x14ac:dyDescent="0.3">
      <c r="A121" s="48"/>
      <c r="B121" s="189"/>
      <c r="C121" s="189"/>
      <c r="D121" s="189"/>
      <c r="E121" s="189"/>
      <c r="F121" s="189"/>
      <c r="G121" s="189"/>
      <c r="H121" s="189"/>
      <c r="I121" s="189"/>
    </row>
    <row r="122" spans="1:9" x14ac:dyDescent="0.3">
      <c r="A122" s="48"/>
      <c r="B122" s="189"/>
      <c r="C122" s="189"/>
      <c r="D122" s="189"/>
      <c r="E122" s="189"/>
      <c r="F122" s="189"/>
      <c r="G122" s="189"/>
      <c r="H122" s="189"/>
      <c r="I122" s="189"/>
    </row>
    <row r="123" spans="1:9" x14ac:dyDescent="0.3">
      <c r="A123" s="48"/>
      <c r="B123" s="189"/>
      <c r="C123" s="189"/>
      <c r="D123" s="189"/>
      <c r="E123" s="189"/>
      <c r="F123" s="189"/>
      <c r="G123" s="189"/>
      <c r="H123" s="189"/>
      <c r="I123" s="189"/>
    </row>
    <row r="124" spans="1:9" x14ac:dyDescent="0.3">
      <c r="A124" s="48"/>
      <c r="B124" s="189"/>
      <c r="C124" s="189"/>
      <c r="D124" s="189"/>
      <c r="E124" s="189"/>
      <c r="F124" s="189"/>
      <c r="G124" s="189"/>
      <c r="H124" s="189"/>
      <c r="I124" s="189"/>
    </row>
    <row r="125" spans="1:9" x14ac:dyDescent="0.3">
      <c r="A125" s="48"/>
      <c r="B125" s="189"/>
      <c r="C125" s="189"/>
      <c r="D125" s="189"/>
      <c r="E125" s="189"/>
      <c r="F125" s="189"/>
      <c r="G125" s="189"/>
      <c r="H125" s="189"/>
      <c r="I125" s="189"/>
    </row>
    <row r="126" spans="1:9" x14ac:dyDescent="0.3">
      <c r="A126" s="48"/>
      <c r="B126" s="189"/>
      <c r="C126" s="189"/>
      <c r="D126" s="189"/>
      <c r="E126" s="189"/>
      <c r="F126" s="189"/>
      <c r="G126" s="189"/>
      <c r="H126" s="189"/>
      <c r="I126" s="189"/>
    </row>
    <row r="127" spans="1:9" x14ac:dyDescent="0.3">
      <c r="A127" s="48"/>
      <c r="B127" s="189"/>
      <c r="C127" s="189"/>
      <c r="D127" s="189"/>
      <c r="E127" s="189"/>
      <c r="F127" s="189"/>
      <c r="G127" s="189"/>
      <c r="H127" s="189"/>
      <c r="I127" s="189"/>
    </row>
    <row r="128" spans="1:9" x14ac:dyDescent="0.3">
      <c r="A128" s="48"/>
      <c r="B128" s="189"/>
      <c r="C128" s="189"/>
      <c r="D128" s="189"/>
      <c r="E128" s="189"/>
      <c r="F128" s="189"/>
      <c r="G128" s="189"/>
      <c r="H128" s="189"/>
      <c r="I128" s="189"/>
    </row>
    <row r="129" spans="1:13" x14ac:dyDescent="0.3">
      <c r="A129" s="48"/>
      <c r="B129" s="189"/>
      <c r="C129" s="189"/>
      <c r="D129" s="189"/>
      <c r="E129" s="189"/>
      <c r="F129" s="189"/>
      <c r="G129" s="189"/>
      <c r="H129" s="189"/>
      <c r="I129" s="189"/>
    </row>
    <row r="130" spans="1:13" x14ac:dyDescent="0.3">
      <c r="A130" s="48"/>
      <c r="B130" s="189"/>
      <c r="C130" s="189"/>
      <c r="D130" s="189"/>
      <c r="E130" s="189"/>
      <c r="F130" s="189"/>
      <c r="G130" s="189"/>
      <c r="H130" s="189"/>
      <c r="I130" s="189"/>
    </row>
    <row r="131" spans="1:13" ht="19.5" thickBot="1" x14ac:dyDescent="0.35"/>
    <row r="132" spans="1:13" ht="19.5" thickBot="1" x14ac:dyDescent="0.35">
      <c r="A132" s="438" t="s">
        <v>421</v>
      </c>
      <c r="B132" s="439" t="s">
        <v>609</v>
      </c>
      <c r="C132" s="439" t="s">
        <v>610</v>
      </c>
      <c r="D132" s="439" t="s">
        <v>611</v>
      </c>
      <c r="E132" s="439" t="s">
        <v>612</v>
      </c>
      <c r="F132" s="439" t="s">
        <v>613</v>
      </c>
      <c r="G132" s="439" t="s">
        <v>609</v>
      </c>
      <c r="H132" s="439" t="s">
        <v>610</v>
      </c>
      <c r="I132" s="439" t="s">
        <v>611</v>
      </c>
      <c r="J132" s="439" t="s">
        <v>612</v>
      </c>
      <c r="K132" s="439" t="s">
        <v>613</v>
      </c>
      <c r="L132" s="541" t="s">
        <v>715</v>
      </c>
      <c r="M132" s="541" t="s">
        <v>716</v>
      </c>
    </row>
    <row r="133" spans="1:13" x14ac:dyDescent="0.3">
      <c r="A133" s="440">
        <v>1</v>
      </c>
      <c r="B133" s="441">
        <v>722</v>
      </c>
      <c r="C133" s="441">
        <v>561</v>
      </c>
      <c r="D133">
        <v>623</v>
      </c>
      <c r="E133">
        <v>621</v>
      </c>
      <c r="F133">
        <v>541</v>
      </c>
      <c r="G133" t="str">
        <f>VLOOKUP(B133,Lists!$A$86:$B$185,2,)</f>
        <v xml:space="preserve">Food Services and Drinking Places </v>
      </c>
      <c r="H133" s="473" t="str">
        <f>VLOOKUP(C133,Lists!$A$86:$B$185,2,)</f>
        <v xml:space="preserve">Administrative and Support Services </v>
      </c>
      <c r="I133" s="473" t="str">
        <f>VLOOKUP(D133,Lists!$A$86:$B$185,2,)</f>
        <v xml:space="preserve">Nursing and Residential Care Facilities </v>
      </c>
      <c r="J133" s="473" t="str">
        <f>VLOOKUP(E133,Lists!$A$86:$B$185,2,)</f>
        <v xml:space="preserve">Ambulatory Health Care Services </v>
      </c>
      <c r="K133" s="473" t="str">
        <f>VLOOKUP(F133,Lists!$A$86:$B$185,2,)</f>
        <v xml:space="preserve">Professional, Scientific, and Technical Services </v>
      </c>
      <c r="L133">
        <v>221</v>
      </c>
      <c r="M133" t="str">
        <f>VLOOKUP(L133,Lists!$A$86:$B$185,2,)</f>
        <v xml:space="preserve">Utilities </v>
      </c>
    </row>
    <row r="134" spans="1:13" x14ac:dyDescent="0.3">
      <c r="A134" s="440">
        <v>2</v>
      </c>
      <c r="B134" s="441">
        <v>722</v>
      </c>
      <c r="C134" s="441">
        <v>561</v>
      </c>
      <c r="D134">
        <v>621</v>
      </c>
      <c r="E134">
        <v>623</v>
      </c>
      <c r="F134">
        <v>814</v>
      </c>
      <c r="G134" s="473" t="str">
        <f>VLOOKUP(B134,Lists!$A$86:$B$185,2,)</f>
        <v xml:space="preserve">Food Services and Drinking Places </v>
      </c>
      <c r="H134" s="473" t="str">
        <f>VLOOKUP(C134,Lists!$A$86:$B$185,2,)</f>
        <v xml:space="preserve">Administrative and Support Services </v>
      </c>
      <c r="I134" s="473" t="str">
        <f>VLOOKUP(D134,Lists!$A$86:$B$185,2,)</f>
        <v xml:space="preserve">Ambulatory Health Care Services </v>
      </c>
      <c r="J134" s="473" t="str">
        <f>VLOOKUP(E134,Lists!$A$86:$B$185,2,)</f>
        <v xml:space="preserve">Nursing and Residential Care Facilities </v>
      </c>
      <c r="K134" s="473" t="str">
        <f>VLOOKUP(F134,Lists!$A$86:$B$185,2,)</f>
        <v xml:space="preserve">Private Households </v>
      </c>
      <c r="L134">
        <v>515</v>
      </c>
      <c r="M134" s="473" t="str">
        <f>VLOOKUP(L134,Lists!$A$86:$B$185,2,)</f>
        <v xml:space="preserve">Broadcasting (except Internet) </v>
      </c>
    </row>
    <row r="135" spans="1:13" x14ac:dyDescent="0.3">
      <c r="A135" s="440">
        <v>3</v>
      </c>
      <c r="B135" s="441">
        <v>722</v>
      </c>
      <c r="C135" s="441">
        <v>561</v>
      </c>
      <c r="D135">
        <v>621</v>
      </c>
      <c r="E135">
        <v>623</v>
      </c>
      <c r="F135">
        <v>238</v>
      </c>
      <c r="G135" s="473" t="str">
        <f>VLOOKUP(B135,Lists!$A$86:$B$185,2,)</f>
        <v xml:space="preserve">Food Services and Drinking Places </v>
      </c>
      <c r="H135" s="473" t="str">
        <f>VLOOKUP(C135,Lists!$A$86:$B$185,2,)</f>
        <v xml:space="preserve">Administrative and Support Services </v>
      </c>
      <c r="I135" s="473" t="str">
        <f>VLOOKUP(D135,Lists!$A$86:$B$185,2,)</f>
        <v xml:space="preserve">Ambulatory Health Care Services </v>
      </c>
      <c r="J135" s="473" t="str">
        <f>VLOOKUP(E135,Lists!$A$86:$B$185,2,)</f>
        <v xml:space="preserve">Nursing and Residential Care Facilities </v>
      </c>
      <c r="K135" s="473" t="str">
        <f>VLOOKUP(F135,Lists!$A$86:$B$185,2,)</f>
        <v xml:space="preserve">Specialty Trade Contractors </v>
      </c>
      <c r="L135">
        <v>512</v>
      </c>
      <c r="M135" s="473" t="str">
        <f>VLOOKUP(L135,Lists!$A$86:$B$185,2,)</f>
        <v xml:space="preserve">Motion Picture and Sound Recording Industries </v>
      </c>
    </row>
    <row r="136" spans="1:13" x14ac:dyDescent="0.3">
      <c r="A136" s="440">
        <v>4</v>
      </c>
      <c r="B136" s="441">
        <v>722</v>
      </c>
      <c r="C136" s="441">
        <v>561</v>
      </c>
      <c r="D136">
        <v>238</v>
      </c>
      <c r="E136">
        <v>541</v>
      </c>
      <c r="F136">
        <v>621</v>
      </c>
      <c r="G136" s="473" t="str">
        <f>VLOOKUP(B136,Lists!$A$86:$B$185,2,)</f>
        <v xml:space="preserve">Food Services and Drinking Places </v>
      </c>
      <c r="H136" s="473" t="str">
        <f>VLOOKUP(C136,Lists!$A$86:$B$185,2,)</f>
        <v xml:space="preserve">Administrative and Support Services </v>
      </c>
      <c r="I136" s="473" t="str">
        <f>VLOOKUP(D136,Lists!$A$86:$B$185,2,)</f>
        <v xml:space="preserve">Specialty Trade Contractors </v>
      </c>
      <c r="J136" s="473" t="str">
        <f>VLOOKUP(E136,Lists!$A$86:$B$185,2,)</f>
        <v xml:space="preserve">Professional, Scientific, and Technical Services </v>
      </c>
      <c r="K136" s="473" t="str">
        <f>VLOOKUP(F136,Lists!$A$86:$B$185,2,)</f>
        <v xml:space="preserve">Ambulatory Health Care Services </v>
      </c>
      <c r="L136">
        <v>212</v>
      </c>
      <c r="M136" s="473" t="str">
        <f>VLOOKUP(L136,Lists!$A$86:$B$185,2,)</f>
        <v xml:space="preserve">Mining (except Oil and Gas) </v>
      </c>
    </row>
    <row r="137" spans="1:13" x14ac:dyDescent="0.3">
      <c r="A137" s="440">
        <v>5</v>
      </c>
      <c r="B137" s="441">
        <v>541</v>
      </c>
      <c r="C137" s="441">
        <v>722</v>
      </c>
      <c r="D137">
        <v>561</v>
      </c>
      <c r="E137">
        <v>814</v>
      </c>
      <c r="F137">
        <v>621</v>
      </c>
      <c r="G137" s="473" t="str">
        <f>VLOOKUP(B137,Lists!$A$86:$B$185,2,)</f>
        <v xml:space="preserve">Professional, Scientific, and Technical Services </v>
      </c>
      <c r="H137" s="473" t="str">
        <f>VLOOKUP(C137,Lists!$A$86:$B$185,2,)</f>
        <v xml:space="preserve">Food Services and Drinking Places </v>
      </c>
      <c r="I137" s="473" t="str">
        <f>VLOOKUP(D137,Lists!$A$86:$B$185,2,)</f>
        <v xml:space="preserve">Administrative and Support Services </v>
      </c>
      <c r="J137" s="473" t="str">
        <f>VLOOKUP(E137,Lists!$A$86:$B$185,2,)</f>
        <v xml:space="preserve">Private Households </v>
      </c>
      <c r="K137" s="473" t="str">
        <f>VLOOKUP(F137,Lists!$A$86:$B$185,2,)</f>
        <v xml:space="preserve">Ambulatory Health Care Services </v>
      </c>
      <c r="L137">
        <v>525</v>
      </c>
      <c r="M137" s="473" t="str">
        <f>VLOOKUP(L137,Lists!$A$86:$B$185,2,)</f>
        <v xml:space="preserve">Funds, Trusts, and Other Financial Vehicles </v>
      </c>
    </row>
    <row r="138" spans="1:13" x14ac:dyDescent="0.3">
      <c r="A138" s="440">
        <v>6</v>
      </c>
      <c r="B138" s="441">
        <v>722</v>
      </c>
      <c r="C138" s="441">
        <v>561</v>
      </c>
      <c r="D138">
        <v>621</v>
      </c>
      <c r="E138">
        <v>238</v>
      </c>
      <c r="F138">
        <v>624</v>
      </c>
      <c r="G138" s="473" t="str">
        <f>VLOOKUP(B138,Lists!$A$86:$B$185,2,)</f>
        <v xml:space="preserve">Food Services and Drinking Places </v>
      </c>
      <c r="H138" s="473" t="str">
        <f>VLOOKUP(C138,Lists!$A$86:$B$185,2,)</f>
        <v xml:space="preserve">Administrative and Support Services </v>
      </c>
      <c r="I138" s="473" t="str">
        <f>VLOOKUP(D138,Lists!$A$86:$B$185,2,)</f>
        <v xml:space="preserve">Ambulatory Health Care Services </v>
      </c>
      <c r="J138" s="473" t="str">
        <f>VLOOKUP(E138,Lists!$A$86:$B$185,2,)</f>
        <v xml:space="preserve">Specialty Trade Contractors </v>
      </c>
      <c r="K138" s="473" t="str">
        <f>VLOOKUP(F138,Lists!$A$86:$B$185,2,)</f>
        <v xml:space="preserve">Social Assistance </v>
      </c>
      <c r="L138">
        <v>314</v>
      </c>
      <c r="M138" s="473" t="str">
        <f>VLOOKUP(L138,Lists!$A$86:$B$185,2,)</f>
        <v xml:space="preserve">Textile Product Mills </v>
      </c>
    </row>
    <row r="139" spans="1:13" x14ac:dyDescent="0.3">
      <c r="A139" s="440">
        <v>7</v>
      </c>
      <c r="B139" s="441">
        <v>722</v>
      </c>
      <c r="C139" s="441">
        <v>561</v>
      </c>
      <c r="D139">
        <v>621</v>
      </c>
      <c r="E139">
        <v>541</v>
      </c>
      <c r="F139">
        <v>238</v>
      </c>
      <c r="G139" s="473" t="str">
        <f>VLOOKUP(B139,Lists!$A$86:$B$185,2,)</f>
        <v xml:space="preserve">Food Services and Drinking Places </v>
      </c>
      <c r="H139" s="473" t="str">
        <f>VLOOKUP(C139,Lists!$A$86:$B$185,2,)</f>
        <v xml:space="preserve">Administrative and Support Services </v>
      </c>
      <c r="I139" s="473" t="str">
        <f>VLOOKUP(D139,Lists!$A$86:$B$185,2,)</f>
        <v xml:space="preserve">Ambulatory Health Care Services </v>
      </c>
      <c r="J139" s="473" t="str">
        <f>VLOOKUP(E139,Lists!$A$86:$B$185,2,)</f>
        <v xml:space="preserve">Professional, Scientific, and Technical Services </v>
      </c>
      <c r="K139" s="473" t="str">
        <f>VLOOKUP(F139,Lists!$A$86:$B$185,2,)</f>
        <v xml:space="preserve">Specialty Trade Contractors </v>
      </c>
      <c r="L139">
        <v>112</v>
      </c>
      <c r="M139" s="473" t="str">
        <f>VLOOKUP(L139,Lists!$A$86:$B$185,2,)</f>
        <v xml:space="preserve">Animal Production and Aquaculture </v>
      </c>
    </row>
    <row r="140" spans="1:13" x14ac:dyDescent="0.3">
      <c r="A140" s="440">
        <v>8</v>
      </c>
      <c r="B140" s="441">
        <v>111</v>
      </c>
      <c r="C140" s="441">
        <v>722</v>
      </c>
      <c r="D140">
        <v>115</v>
      </c>
      <c r="E140">
        <v>621</v>
      </c>
      <c r="F140">
        <v>814</v>
      </c>
      <c r="G140" s="473" t="str">
        <f>VLOOKUP(B140,Lists!$A$86:$B$185,2,)</f>
        <v xml:space="preserve">Crop Production </v>
      </c>
      <c r="H140" s="473" t="str">
        <f>VLOOKUP(C140,Lists!$A$86:$B$185,2,)</f>
        <v xml:space="preserve">Food Services and Drinking Places </v>
      </c>
      <c r="I140" s="473" t="str">
        <f>VLOOKUP(D140,Lists!$A$86:$B$185,2,)</f>
        <v xml:space="preserve">Support Activities for Agriculture and Forestry </v>
      </c>
      <c r="J140" s="473" t="str">
        <f>VLOOKUP(E140,Lists!$A$86:$B$185,2,)</f>
        <v xml:space="preserve">Ambulatory Health Care Services </v>
      </c>
      <c r="K140" s="473" t="str">
        <f>VLOOKUP(F140,Lists!$A$86:$B$185,2,)</f>
        <v xml:space="preserve">Private Households </v>
      </c>
      <c r="L140">
        <v>492</v>
      </c>
      <c r="M140" s="473" t="str">
        <f>VLOOKUP(L140,Lists!$A$86:$B$185,2,)</f>
        <v xml:space="preserve">Couriers and Messengers </v>
      </c>
    </row>
    <row r="141" spans="1:13" x14ac:dyDescent="0.3">
      <c r="A141" s="440">
        <v>9</v>
      </c>
      <c r="B141" s="441">
        <v>111</v>
      </c>
      <c r="C141" s="441">
        <v>311</v>
      </c>
      <c r="D141">
        <v>621</v>
      </c>
      <c r="E141">
        <v>115</v>
      </c>
      <c r="F141">
        <v>623</v>
      </c>
      <c r="G141" s="473" t="str">
        <f>VLOOKUP(B141,Lists!$A$86:$B$185,2,)</f>
        <v xml:space="preserve">Crop Production </v>
      </c>
      <c r="H141" s="473" t="str">
        <f>VLOOKUP(C141,Lists!$A$86:$B$185,2,)</f>
        <v xml:space="preserve">Food Manufacturing </v>
      </c>
      <c r="I141" s="473" t="str">
        <f>VLOOKUP(D141,Lists!$A$86:$B$185,2,)</f>
        <v xml:space="preserve">Ambulatory Health Care Services </v>
      </c>
      <c r="J141" s="473" t="str">
        <f>VLOOKUP(E141,Lists!$A$86:$B$185,2,)</f>
        <v xml:space="preserve">Support Activities for Agriculture and Forestry </v>
      </c>
      <c r="K141" s="473" t="str">
        <f>VLOOKUP(F141,Lists!$A$86:$B$185,2,)</f>
        <v xml:space="preserve">Nursing and Residential Care Facilities </v>
      </c>
      <c r="L141">
        <v>323</v>
      </c>
      <c r="M141" s="473" t="str">
        <f>VLOOKUP(L141,Lists!$A$86:$B$185,2,)</f>
        <v xml:space="preserve">Printing and Related Support Activities </v>
      </c>
    </row>
    <row r="142" spans="1:13" x14ac:dyDescent="0.3">
      <c r="A142" s="440">
        <v>10</v>
      </c>
      <c r="B142" s="441">
        <v>722</v>
      </c>
      <c r="C142" s="441">
        <v>452</v>
      </c>
      <c r="D142">
        <v>111</v>
      </c>
      <c r="E142">
        <v>445</v>
      </c>
      <c r="F142">
        <v>623</v>
      </c>
      <c r="G142" s="473" t="str">
        <f>VLOOKUP(B142,Lists!$A$86:$B$185,2,)</f>
        <v xml:space="preserve">Food Services and Drinking Places </v>
      </c>
      <c r="H142" s="473" t="str">
        <f>VLOOKUP(C142,Lists!$A$86:$B$185,2,)</f>
        <v xml:space="preserve">General Merchandise Stores </v>
      </c>
      <c r="I142" s="473" t="str">
        <f>VLOOKUP(D142,Lists!$A$86:$B$185,2,)</f>
        <v xml:space="preserve">Crop Production </v>
      </c>
      <c r="J142" s="473" t="str">
        <f>VLOOKUP(E142,Lists!$A$86:$B$185,2,)</f>
        <v xml:space="preserve">Food and Beverage Stores </v>
      </c>
      <c r="K142" s="473" t="str">
        <f>VLOOKUP(F142,Lists!$A$86:$B$185,2,)</f>
        <v xml:space="preserve">Nursing and Residential Care Facilities </v>
      </c>
      <c r="L142">
        <v>551</v>
      </c>
      <c r="M142" s="473" t="str">
        <f>VLOOKUP(L142,Lists!$A$86:$B$185,2,)</f>
        <v xml:space="preserve">Management of Companies and Enterprises </v>
      </c>
    </row>
    <row r="143" spans="1:13" x14ac:dyDescent="0.3">
      <c r="A143" s="440">
        <v>11</v>
      </c>
      <c r="B143" s="441">
        <v>722</v>
      </c>
      <c r="C143" s="441">
        <v>541</v>
      </c>
      <c r="D143">
        <v>561</v>
      </c>
      <c r="E143">
        <v>562</v>
      </c>
      <c r="F143">
        <v>111</v>
      </c>
      <c r="G143" s="473" t="str">
        <f>VLOOKUP(B143,Lists!$A$86:$B$185,2,)</f>
        <v xml:space="preserve">Food Services and Drinking Places </v>
      </c>
      <c r="H143" s="473" t="str">
        <f>VLOOKUP(C143,Lists!$A$86:$B$185,2,)</f>
        <v xml:space="preserve">Professional, Scientific, and Technical Services </v>
      </c>
      <c r="I143" s="473" t="str">
        <f>VLOOKUP(D143,Lists!$A$86:$B$185,2,)</f>
        <v xml:space="preserve">Administrative and Support Services </v>
      </c>
      <c r="J143" s="473" t="str">
        <f>VLOOKUP(E143,Lists!$A$86:$B$185,2,)</f>
        <v xml:space="preserve">Waste Management and Remediation Services </v>
      </c>
      <c r="K143" s="473" t="str">
        <f>VLOOKUP(F143,Lists!$A$86:$B$185,2,)</f>
        <v xml:space="preserve">Crop Production </v>
      </c>
      <c r="L143">
        <v>221</v>
      </c>
      <c r="M143" s="473" t="str">
        <f>VLOOKUP(L143,Lists!$A$86:$B$185,2,)</f>
        <v xml:space="preserve">Utilities </v>
      </c>
    </row>
    <row r="144" spans="1:13" x14ac:dyDescent="0.3">
      <c r="A144" s="440">
        <v>12</v>
      </c>
      <c r="B144" s="441">
        <v>722</v>
      </c>
      <c r="C144" s="441">
        <v>561</v>
      </c>
      <c r="D144">
        <v>452</v>
      </c>
      <c r="E144">
        <v>621</v>
      </c>
      <c r="F144">
        <v>541</v>
      </c>
      <c r="G144" s="473" t="str">
        <f>VLOOKUP(B144,Lists!$A$86:$B$185,2,)</f>
        <v xml:space="preserve">Food Services and Drinking Places </v>
      </c>
      <c r="H144" s="473" t="str">
        <f>VLOOKUP(C144,Lists!$A$86:$B$185,2,)</f>
        <v xml:space="preserve">Administrative and Support Services </v>
      </c>
      <c r="I144" s="473" t="str">
        <f>VLOOKUP(D144,Lists!$A$86:$B$185,2,)</f>
        <v xml:space="preserve">General Merchandise Stores </v>
      </c>
      <c r="J144" s="473" t="str">
        <f>VLOOKUP(E144,Lists!$A$86:$B$185,2,)</f>
        <v xml:space="preserve">Ambulatory Health Care Services </v>
      </c>
      <c r="K144" s="473" t="str">
        <f>VLOOKUP(F144,Lists!$A$86:$B$185,2,)</f>
        <v xml:space="preserve">Professional, Scientific, and Technical Services </v>
      </c>
      <c r="L144">
        <v>323</v>
      </c>
      <c r="M144" s="473" t="str">
        <f>VLOOKUP(L144,Lists!$A$86:$B$185,2,)</f>
        <v xml:space="preserve">Printing and Related Support Activities </v>
      </c>
    </row>
    <row r="145" spans="1:13" x14ac:dyDescent="0.3">
      <c r="A145" s="440">
        <v>0</v>
      </c>
      <c r="B145">
        <v>722</v>
      </c>
      <c r="C145">
        <v>561</v>
      </c>
      <c r="D145">
        <v>541</v>
      </c>
      <c r="E145">
        <v>621</v>
      </c>
      <c r="F145">
        <v>814</v>
      </c>
      <c r="G145" s="473" t="str">
        <f>VLOOKUP(B145,Lists!$A$86:$B$185,2,)</f>
        <v xml:space="preserve">Food Services and Drinking Places </v>
      </c>
      <c r="H145" s="473" t="str">
        <f>VLOOKUP(C145,Lists!$A$86:$B$185,2,)</f>
        <v xml:space="preserve">Administrative and Support Services </v>
      </c>
      <c r="I145" s="473" t="str">
        <f>VLOOKUP(D145,Lists!$A$86:$B$185,2,)</f>
        <v xml:space="preserve">Professional, Scientific, and Technical Services </v>
      </c>
      <c r="J145" s="473" t="str">
        <f>VLOOKUP(E145,Lists!$A$86:$B$185,2,)</f>
        <v xml:space="preserve">Ambulatory Health Care Services </v>
      </c>
      <c r="K145" s="473" t="str">
        <f>VLOOKUP(F145,Lists!$A$86:$B$185,2,)</f>
        <v xml:space="preserve">Private Households </v>
      </c>
      <c r="L145">
        <v>482</v>
      </c>
      <c r="M145" s="473" t="str">
        <f>VLOOKUP(L145,Lists!$A$86:$B$185,2,)</f>
        <v xml:space="preserve">Rail Transportation </v>
      </c>
    </row>
    <row r="146" spans="1:13" x14ac:dyDescent="0.3">
      <c r="M146" s="473"/>
    </row>
    <row r="147" spans="1:13" x14ac:dyDescent="0.3">
      <c r="A147" t="s">
        <v>333</v>
      </c>
      <c r="M147" s="473"/>
    </row>
    <row r="148" spans="1:13" x14ac:dyDescent="0.3">
      <c r="B148" s="188" t="s">
        <v>183</v>
      </c>
      <c r="M148" s="473"/>
    </row>
    <row r="149" spans="1:13" x14ac:dyDescent="0.3">
      <c r="A149" s="188" t="s">
        <v>181</v>
      </c>
      <c r="B149" t="s">
        <v>336</v>
      </c>
      <c r="C149" t="s">
        <v>325</v>
      </c>
      <c r="D149" t="s">
        <v>335</v>
      </c>
      <c r="E149" t="s">
        <v>326</v>
      </c>
      <c r="F149" t="s">
        <v>327</v>
      </c>
    </row>
    <row r="150" spans="1:13" x14ac:dyDescent="0.3">
      <c r="A150" s="48">
        <v>1</v>
      </c>
      <c r="B150" s="189">
        <v>18978</v>
      </c>
      <c r="C150" s="189">
        <v>8155</v>
      </c>
      <c r="D150" s="189">
        <v>4142</v>
      </c>
      <c r="E150" s="189">
        <v>3805</v>
      </c>
      <c r="F150" s="189">
        <v>1020</v>
      </c>
    </row>
    <row r="151" spans="1:13" x14ac:dyDescent="0.3">
      <c r="A151" s="48">
        <v>10</v>
      </c>
      <c r="B151" s="189">
        <v>15428</v>
      </c>
      <c r="C151" s="189">
        <v>6509</v>
      </c>
      <c r="D151" s="189">
        <v>2575</v>
      </c>
      <c r="E151" s="189">
        <v>2709</v>
      </c>
      <c r="F151" s="189">
        <v>580</v>
      </c>
    </row>
    <row r="152" spans="1:13" x14ac:dyDescent="0.3">
      <c r="A152" s="48">
        <v>11</v>
      </c>
      <c r="B152" s="189">
        <v>17843</v>
      </c>
      <c r="C152" s="189">
        <v>7199</v>
      </c>
      <c r="D152" s="189">
        <v>7479</v>
      </c>
      <c r="E152" s="189">
        <v>2231</v>
      </c>
      <c r="F152" s="189">
        <v>364</v>
      </c>
    </row>
    <row r="153" spans="1:13" x14ac:dyDescent="0.3">
      <c r="A153" s="48">
        <v>12</v>
      </c>
      <c r="B153" s="189">
        <v>26353</v>
      </c>
      <c r="C153" s="189">
        <v>11085</v>
      </c>
      <c r="D153" s="189">
        <v>4225</v>
      </c>
      <c r="E153" s="189">
        <v>4600</v>
      </c>
      <c r="F153" s="189">
        <v>1255</v>
      </c>
    </row>
    <row r="154" spans="1:13" x14ac:dyDescent="0.3">
      <c r="A154" s="48">
        <v>13</v>
      </c>
      <c r="B154" s="189">
        <v>2670</v>
      </c>
      <c r="C154" s="189">
        <v>404</v>
      </c>
      <c r="D154" s="189">
        <v>923</v>
      </c>
      <c r="E154" s="189">
        <v>320</v>
      </c>
      <c r="F154" s="189">
        <v>120</v>
      </c>
    </row>
    <row r="155" spans="1:13" x14ac:dyDescent="0.3">
      <c r="A155" s="48">
        <v>2</v>
      </c>
      <c r="B155" s="189">
        <v>31826</v>
      </c>
      <c r="C155" s="189">
        <v>13412</v>
      </c>
      <c r="D155" s="189">
        <v>6188</v>
      </c>
      <c r="E155" s="189">
        <v>5545</v>
      </c>
      <c r="F155" s="189">
        <v>1664</v>
      </c>
    </row>
    <row r="156" spans="1:13" x14ac:dyDescent="0.3">
      <c r="A156" s="48">
        <v>3</v>
      </c>
      <c r="B156" s="189">
        <v>19679</v>
      </c>
      <c r="C156" s="189">
        <v>8380</v>
      </c>
      <c r="D156" s="189">
        <v>4038</v>
      </c>
      <c r="E156" s="189">
        <v>3972</v>
      </c>
      <c r="F156" s="189">
        <v>664</v>
      </c>
    </row>
    <row r="157" spans="1:13" x14ac:dyDescent="0.3">
      <c r="A157" s="48">
        <v>4</v>
      </c>
      <c r="B157" s="189">
        <v>44057</v>
      </c>
      <c r="C157" s="189">
        <v>18339</v>
      </c>
      <c r="D157" s="189">
        <v>12339</v>
      </c>
      <c r="E157" s="189">
        <v>9166</v>
      </c>
      <c r="F157" s="189">
        <v>2395</v>
      </c>
    </row>
    <row r="158" spans="1:13" x14ac:dyDescent="0.3">
      <c r="A158" s="48">
        <v>5</v>
      </c>
      <c r="B158" s="189">
        <v>77321</v>
      </c>
      <c r="C158" s="189">
        <v>34911</v>
      </c>
      <c r="D158" s="189">
        <v>32820</v>
      </c>
      <c r="E158" s="189">
        <v>16322</v>
      </c>
      <c r="F158" s="189">
        <v>3069</v>
      </c>
    </row>
    <row r="159" spans="1:13" x14ac:dyDescent="0.3">
      <c r="A159" s="48">
        <v>6</v>
      </c>
      <c r="B159" s="189">
        <v>37356</v>
      </c>
      <c r="C159" s="189">
        <v>16514</v>
      </c>
      <c r="D159" s="189">
        <v>13925</v>
      </c>
      <c r="E159" s="189">
        <v>6471</v>
      </c>
      <c r="F159" s="189">
        <v>1968</v>
      </c>
    </row>
    <row r="160" spans="1:13" x14ac:dyDescent="0.3">
      <c r="A160" s="48">
        <v>7</v>
      </c>
      <c r="B160" s="189">
        <v>27153</v>
      </c>
      <c r="C160" s="189">
        <v>12299</v>
      </c>
      <c r="D160" s="189">
        <v>6041</v>
      </c>
      <c r="E160" s="189">
        <v>4481</v>
      </c>
      <c r="F160" s="189">
        <v>1428</v>
      </c>
    </row>
    <row r="161" spans="1:9" x14ac:dyDescent="0.3">
      <c r="A161" s="48">
        <v>8</v>
      </c>
      <c r="B161" s="189">
        <v>32486</v>
      </c>
      <c r="C161" s="189">
        <v>13084</v>
      </c>
      <c r="D161" s="189">
        <v>9723</v>
      </c>
      <c r="E161" s="189">
        <v>4764</v>
      </c>
      <c r="F161" s="189">
        <v>833</v>
      </c>
    </row>
    <row r="162" spans="1:9" x14ac:dyDescent="0.3">
      <c r="A162" s="48">
        <v>9</v>
      </c>
      <c r="B162" s="189">
        <v>28432</v>
      </c>
      <c r="C162" s="189">
        <v>12664</v>
      </c>
      <c r="D162" s="189">
        <v>13665</v>
      </c>
      <c r="E162" s="189">
        <v>4443</v>
      </c>
      <c r="F162" s="189">
        <v>833</v>
      </c>
    </row>
    <row r="163" spans="1:9" x14ac:dyDescent="0.3">
      <c r="A163" s="48" t="s">
        <v>182</v>
      </c>
      <c r="B163" s="189">
        <v>379582</v>
      </c>
      <c r="C163" s="189">
        <v>162955</v>
      </c>
      <c r="D163" s="189">
        <v>118083</v>
      </c>
      <c r="E163" s="189">
        <v>68829</v>
      </c>
      <c r="F163" s="189">
        <v>16193</v>
      </c>
    </row>
    <row r="165" spans="1:9" x14ac:dyDescent="0.3">
      <c r="A165" t="s">
        <v>334</v>
      </c>
    </row>
    <row r="166" spans="1:9" x14ac:dyDescent="0.3">
      <c r="B166" s="188" t="s">
        <v>183</v>
      </c>
    </row>
    <row r="167" spans="1:9" x14ac:dyDescent="0.3">
      <c r="A167" s="188" t="s">
        <v>181</v>
      </c>
      <c r="B167" t="s">
        <v>337</v>
      </c>
      <c r="C167" t="s">
        <v>338</v>
      </c>
      <c r="D167" t="s">
        <v>339</v>
      </c>
      <c r="E167" t="s">
        <v>340</v>
      </c>
      <c r="F167" t="s">
        <v>341</v>
      </c>
      <c r="G167" t="s">
        <v>345</v>
      </c>
      <c r="H167" t="s">
        <v>346</v>
      </c>
      <c r="I167" t="s">
        <v>347</v>
      </c>
    </row>
    <row r="168" spans="1:9" x14ac:dyDescent="0.3">
      <c r="A168" s="48">
        <v>1</v>
      </c>
      <c r="B168" s="189">
        <v>981</v>
      </c>
      <c r="C168" s="189">
        <v>507</v>
      </c>
      <c r="D168" s="189">
        <v>196</v>
      </c>
      <c r="E168" s="189">
        <v>171</v>
      </c>
      <c r="F168" s="189">
        <v>54</v>
      </c>
      <c r="G168" s="189">
        <v>796</v>
      </c>
      <c r="H168" s="189">
        <v>770</v>
      </c>
      <c r="I168" s="189">
        <v>118</v>
      </c>
    </row>
    <row r="169" spans="1:9" x14ac:dyDescent="0.3">
      <c r="A169" s="48">
        <v>10</v>
      </c>
      <c r="B169" s="189">
        <v>881</v>
      </c>
      <c r="C169" s="189">
        <v>408</v>
      </c>
      <c r="D169" s="189">
        <v>118</v>
      </c>
      <c r="E169" s="189">
        <v>66</v>
      </c>
      <c r="F169" s="189">
        <v>97</v>
      </c>
      <c r="G169" s="189">
        <v>459</v>
      </c>
      <c r="H169" s="189">
        <v>435</v>
      </c>
      <c r="I169" s="189">
        <v>23</v>
      </c>
    </row>
    <row r="170" spans="1:9" x14ac:dyDescent="0.3">
      <c r="A170" s="48">
        <v>11</v>
      </c>
      <c r="B170" s="189">
        <v>632</v>
      </c>
      <c r="C170" s="189">
        <v>368</v>
      </c>
      <c r="D170" s="189">
        <v>160</v>
      </c>
      <c r="E170" s="189">
        <v>60</v>
      </c>
      <c r="F170" s="189">
        <v>38</v>
      </c>
      <c r="G170" s="189">
        <v>361</v>
      </c>
      <c r="H170" s="189">
        <v>322</v>
      </c>
      <c r="I170" s="189">
        <v>27</v>
      </c>
    </row>
    <row r="171" spans="1:9" x14ac:dyDescent="0.3">
      <c r="A171" s="48">
        <v>12</v>
      </c>
      <c r="B171" s="189">
        <v>1556</v>
      </c>
      <c r="C171" s="189">
        <v>761</v>
      </c>
      <c r="D171" s="189">
        <v>224</v>
      </c>
      <c r="E171" s="189">
        <v>193</v>
      </c>
      <c r="F171" s="189">
        <v>103</v>
      </c>
      <c r="G171" s="189">
        <v>1056</v>
      </c>
      <c r="H171" s="189">
        <v>1025</v>
      </c>
      <c r="I171" s="189">
        <v>179</v>
      </c>
    </row>
    <row r="172" spans="1:9" x14ac:dyDescent="0.3">
      <c r="A172" s="48">
        <v>2</v>
      </c>
      <c r="B172" s="189">
        <v>2187</v>
      </c>
      <c r="C172" s="189">
        <v>929</v>
      </c>
      <c r="D172" s="189">
        <v>333</v>
      </c>
      <c r="E172" s="189">
        <v>352</v>
      </c>
      <c r="F172" s="189">
        <v>126</v>
      </c>
      <c r="G172" s="189">
        <v>1736</v>
      </c>
      <c r="H172" s="189">
        <v>1634</v>
      </c>
      <c r="I172" s="189">
        <v>133</v>
      </c>
    </row>
    <row r="173" spans="1:9" x14ac:dyDescent="0.3">
      <c r="A173" s="48">
        <v>3</v>
      </c>
      <c r="B173" s="189">
        <v>882</v>
      </c>
      <c r="C173" s="189">
        <v>490</v>
      </c>
      <c r="D173" s="189">
        <v>150</v>
      </c>
      <c r="E173" s="189">
        <v>117</v>
      </c>
      <c r="F173" s="189">
        <v>31</v>
      </c>
      <c r="G173" s="189">
        <v>645</v>
      </c>
      <c r="H173" s="189">
        <v>616</v>
      </c>
      <c r="I173" s="189">
        <v>116</v>
      </c>
    </row>
    <row r="174" spans="1:9" x14ac:dyDescent="0.3">
      <c r="A174" s="48">
        <v>4</v>
      </c>
      <c r="B174" s="189">
        <v>2153</v>
      </c>
      <c r="C174" s="189">
        <v>994</v>
      </c>
      <c r="D174" s="189">
        <v>524</v>
      </c>
      <c r="E174" s="189">
        <v>466</v>
      </c>
      <c r="F174" s="189">
        <v>210</v>
      </c>
      <c r="G174" s="189">
        <v>1511</v>
      </c>
      <c r="H174" s="189">
        <v>1431</v>
      </c>
      <c r="I174" s="189">
        <v>373</v>
      </c>
    </row>
    <row r="175" spans="1:9" x14ac:dyDescent="0.3">
      <c r="A175" s="48">
        <v>5</v>
      </c>
      <c r="B175" s="189">
        <v>3497</v>
      </c>
      <c r="C175" s="189">
        <v>2009</v>
      </c>
      <c r="D175" s="189">
        <v>1843</v>
      </c>
      <c r="E175" s="189">
        <v>597</v>
      </c>
      <c r="F175" s="189">
        <v>256</v>
      </c>
      <c r="G175" s="189">
        <v>2662</v>
      </c>
      <c r="H175" s="189">
        <v>2566</v>
      </c>
      <c r="I175" s="189">
        <v>937</v>
      </c>
    </row>
    <row r="176" spans="1:9" x14ac:dyDescent="0.3">
      <c r="A176" s="48">
        <v>6</v>
      </c>
      <c r="B176" s="189">
        <v>1281</v>
      </c>
      <c r="C176" s="189">
        <v>690</v>
      </c>
      <c r="D176" s="189">
        <v>522</v>
      </c>
      <c r="E176" s="189">
        <v>168</v>
      </c>
      <c r="F176" s="189">
        <v>87</v>
      </c>
      <c r="G176" s="189">
        <v>843</v>
      </c>
      <c r="H176" s="189">
        <v>788</v>
      </c>
      <c r="I176" s="189">
        <v>97</v>
      </c>
    </row>
    <row r="177" spans="1:9" x14ac:dyDescent="0.3">
      <c r="A177" s="48">
        <v>7</v>
      </c>
      <c r="B177" s="189">
        <v>2428</v>
      </c>
      <c r="C177" s="189">
        <v>1149</v>
      </c>
      <c r="D177" s="189">
        <v>416</v>
      </c>
      <c r="E177" s="189">
        <v>369</v>
      </c>
      <c r="F177" s="189">
        <v>193</v>
      </c>
      <c r="G177" s="189">
        <v>1905</v>
      </c>
      <c r="H177" s="189">
        <v>1798</v>
      </c>
      <c r="I177" s="189">
        <v>218</v>
      </c>
    </row>
    <row r="178" spans="1:9" x14ac:dyDescent="0.3">
      <c r="A178" s="48">
        <v>8</v>
      </c>
      <c r="B178" s="189">
        <v>1123</v>
      </c>
      <c r="C178" s="189">
        <v>658</v>
      </c>
      <c r="D178" s="189">
        <v>192</v>
      </c>
      <c r="E178" s="189">
        <v>146</v>
      </c>
      <c r="F178" s="189">
        <v>85</v>
      </c>
      <c r="G178" s="189">
        <v>727</v>
      </c>
      <c r="H178" s="189">
        <v>638</v>
      </c>
      <c r="I178" s="189">
        <v>47</v>
      </c>
    </row>
    <row r="179" spans="1:9" x14ac:dyDescent="0.3">
      <c r="A179" s="48">
        <v>9</v>
      </c>
      <c r="B179" s="189">
        <v>1176</v>
      </c>
      <c r="C179" s="189">
        <v>609</v>
      </c>
      <c r="D179" s="189">
        <v>342</v>
      </c>
      <c r="E179" s="189">
        <v>145</v>
      </c>
      <c r="F179" s="189">
        <v>68</v>
      </c>
      <c r="G179" s="189">
        <v>868</v>
      </c>
      <c r="H179" s="189">
        <v>794</v>
      </c>
      <c r="I179" s="189">
        <v>33</v>
      </c>
    </row>
    <row r="180" spans="1:9" x14ac:dyDescent="0.3">
      <c r="A180" s="48" t="s">
        <v>182</v>
      </c>
      <c r="B180" s="189">
        <v>18777</v>
      </c>
      <c r="C180" s="189">
        <v>9572</v>
      </c>
      <c r="D180" s="189">
        <v>5020</v>
      </c>
      <c r="E180" s="189">
        <v>2850</v>
      </c>
      <c r="F180" s="189">
        <v>1348</v>
      </c>
      <c r="G180" s="189">
        <v>13569</v>
      </c>
      <c r="H180" s="189">
        <v>12817</v>
      </c>
      <c r="I180" s="189">
        <v>2301</v>
      </c>
    </row>
    <row r="182" spans="1:9" x14ac:dyDescent="0.3">
      <c r="A182" t="s">
        <v>449</v>
      </c>
    </row>
    <row r="183" spans="1:9" x14ac:dyDescent="0.3">
      <c r="B183" s="188" t="s">
        <v>183</v>
      </c>
    </row>
    <row r="184" spans="1:9" x14ac:dyDescent="0.3">
      <c r="A184" s="188" t="s">
        <v>181</v>
      </c>
      <c r="B184" t="s">
        <v>343</v>
      </c>
      <c r="C184" t="s">
        <v>344</v>
      </c>
      <c r="D184" t="s">
        <v>342</v>
      </c>
    </row>
    <row r="185" spans="1:9" x14ac:dyDescent="0.3">
      <c r="A185" s="48">
        <v>1</v>
      </c>
      <c r="B185" s="189">
        <v>16437</v>
      </c>
      <c r="C185" s="189">
        <v>15382</v>
      </c>
      <c r="D185" s="189">
        <v>2437</v>
      </c>
    </row>
    <row r="186" spans="1:9" x14ac:dyDescent="0.3">
      <c r="A186" s="48">
        <v>10</v>
      </c>
      <c r="B186" s="189">
        <v>12340</v>
      </c>
      <c r="C186" s="189">
        <v>10868</v>
      </c>
      <c r="D186" s="189">
        <v>1480</v>
      </c>
    </row>
    <row r="187" spans="1:9" x14ac:dyDescent="0.3">
      <c r="A187" s="48">
        <v>11</v>
      </c>
      <c r="B187" s="189">
        <v>14374</v>
      </c>
      <c r="C187" s="189">
        <v>10274</v>
      </c>
      <c r="D187" s="189">
        <v>1360</v>
      </c>
    </row>
    <row r="188" spans="1:9" x14ac:dyDescent="0.3">
      <c r="A188" s="48">
        <v>12</v>
      </c>
      <c r="B188" s="189">
        <v>22955</v>
      </c>
      <c r="C188" s="189">
        <v>21323</v>
      </c>
      <c r="D188" s="189">
        <v>3439</v>
      </c>
    </row>
    <row r="189" spans="1:9" x14ac:dyDescent="0.3">
      <c r="A189" s="48">
        <v>13</v>
      </c>
      <c r="B189" s="189">
        <v>2346</v>
      </c>
      <c r="C189" s="189">
        <v>2064</v>
      </c>
      <c r="D189" s="189">
        <v>119</v>
      </c>
    </row>
    <row r="190" spans="1:9" x14ac:dyDescent="0.3">
      <c r="A190" s="48">
        <v>2</v>
      </c>
      <c r="B190" s="189">
        <v>27105</v>
      </c>
      <c r="C190" s="189">
        <v>24415</v>
      </c>
      <c r="D190" s="189">
        <v>2968</v>
      </c>
    </row>
    <row r="191" spans="1:9" x14ac:dyDescent="0.3">
      <c r="A191" s="48">
        <v>3</v>
      </c>
      <c r="B191" s="189">
        <v>17266</v>
      </c>
      <c r="C191" s="189">
        <v>15437</v>
      </c>
      <c r="D191" s="189">
        <v>2836</v>
      </c>
    </row>
    <row r="192" spans="1:9" x14ac:dyDescent="0.3">
      <c r="A192" s="48">
        <v>4</v>
      </c>
      <c r="B192" s="189">
        <v>39410</v>
      </c>
      <c r="C192" s="189">
        <v>36302</v>
      </c>
      <c r="D192" s="189">
        <v>6709</v>
      </c>
    </row>
    <row r="193" spans="1:5" x14ac:dyDescent="0.3">
      <c r="A193" s="48">
        <v>5</v>
      </c>
      <c r="B193" s="189">
        <v>71164</v>
      </c>
      <c r="C193" s="189">
        <v>66035</v>
      </c>
      <c r="D193" s="189">
        <v>20086</v>
      </c>
    </row>
    <row r="194" spans="1:5" x14ac:dyDescent="0.3">
      <c r="A194" s="48">
        <v>6</v>
      </c>
      <c r="B194" s="189">
        <v>33473</v>
      </c>
      <c r="C194" s="189">
        <v>30654</v>
      </c>
      <c r="D194" s="189">
        <v>4291</v>
      </c>
    </row>
    <row r="195" spans="1:5" x14ac:dyDescent="0.3">
      <c r="A195" s="48">
        <v>7</v>
      </c>
      <c r="B195" s="189">
        <v>23241</v>
      </c>
      <c r="C195" s="189">
        <v>21253</v>
      </c>
      <c r="D195" s="189">
        <v>2942</v>
      </c>
    </row>
    <row r="196" spans="1:5" x14ac:dyDescent="0.3">
      <c r="A196" s="48">
        <v>8</v>
      </c>
      <c r="B196" s="189">
        <v>25806</v>
      </c>
      <c r="C196" s="189">
        <v>16734</v>
      </c>
      <c r="D196" s="189">
        <v>1635</v>
      </c>
    </row>
    <row r="197" spans="1:5" x14ac:dyDescent="0.3">
      <c r="A197" s="48">
        <v>9</v>
      </c>
      <c r="B197" s="189">
        <v>23217</v>
      </c>
      <c r="C197" s="189">
        <v>15527</v>
      </c>
      <c r="D197" s="189">
        <v>1632</v>
      </c>
    </row>
    <row r="198" spans="1:5" x14ac:dyDescent="0.3">
      <c r="A198" s="48" t="s">
        <v>182</v>
      </c>
      <c r="B198" s="189">
        <v>329134</v>
      </c>
      <c r="C198" s="189">
        <v>286268</v>
      </c>
      <c r="D198" s="189">
        <v>51934</v>
      </c>
    </row>
    <row r="201" spans="1:5" x14ac:dyDescent="0.3">
      <c r="A201" t="s">
        <v>450</v>
      </c>
      <c r="D201" t="s">
        <v>451</v>
      </c>
    </row>
    <row r="202" spans="1:5" x14ac:dyDescent="0.3">
      <c r="A202" s="447">
        <v>1</v>
      </c>
      <c r="B202" s="446">
        <v>11.8896</v>
      </c>
      <c r="D202" s="447">
        <v>1</v>
      </c>
      <c r="E202" s="446">
        <v>11.774008438818566</v>
      </c>
    </row>
    <row r="203" spans="1:5" x14ac:dyDescent="0.3">
      <c r="A203" s="447">
        <v>10</v>
      </c>
      <c r="B203" s="446">
        <v>11.018484848484849</v>
      </c>
      <c r="D203" s="447">
        <v>10</v>
      </c>
      <c r="E203" s="446">
        <v>10.841558935361217</v>
      </c>
    </row>
    <row r="204" spans="1:5" x14ac:dyDescent="0.3">
      <c r="A204" s="447">
        <v>11</v>
      </c>
      <c r="B204" s="446">
        <v>11.242216216216217</v>
      </c>
      <c r="D204" s="447">
        <v>11</v>
      </c>
      <c r="E204" s="446">
        <v>12.97043010752688</v>
      </c>
    </row>
    <row r="205" spans="1:5" x14ac:dyDescent="0.3">
      <c r="A205" s="447">
        <v>12</v>
      </c>
      <c r="B205" s="446">
        <v>11.443089887640451</v>
      </c>
      <c r="D205" s="447">
        <v>12</v>
      </c>
      <c r="E205" s="446">
        <v>11.097820512820514</v>
      </c>
    </row>
    <row r="206" spans="1:5" x14ac:dyDescent="0.3">
      <c r="A206" s="447">
        <v>13</v>
      </c>
      <c r="B206" s="446">
        <v>12.67</v>
      </c>
      <c r="D206" s="447">
        <v>13</v>
      </c>
      <c r="E206" s="446">
        <v>10.154285714285715</v>
      </c>
    </row>
    <row r="207" spans="1:5" x14ac:dyDescent="0.3">
      <c r="A207" s="447">
        <v>2</v>
      </c>
      <c r="B207" s="446">
        <v>11.100193236714976</v>
      </c>
      <c r="D207" s="447">
        <v>2</v>
      </c>
      <c r="E207" s="446">
        <v>10.674918699186991</v>
      </c>
    </row>
    <row r="208" spans="1:5" x14ac:dyDescent="0.3">
      <c r="A208" s="447">
        <v>3</v>
      </c>
      <c r="B208" s="446">
        <v>13.335205479452055</v>
      </c>
      <c r="D208" s="447">
        <v>3</v>
      </c>
      <c r="E208" s="446">
        <v>12.113133047210301</v>
      </c>
    </row>
    <row r="209" spans="1:9" x14ac:dyDescent="0.3">
      <c r="A209" s="447">
        <v>4</v>
      </c>
      <c r="B209" s="446">
        <v>12.329565217391306</v>
      </c>
      <c r="D209" s="447">
        <v>4</v>
      </c>
      <c r="E209" s="446">
        <v>14.187384937238493</v>
      </c>
    </row>
    <row r="210" spans="1:9" x14ac:dyDescent="0.3">
      <c r="A210" s="447">
        <v>5</v>
      </c>
      <c r="B210" s="446">
        <v>13.360779816513761</v>
      </c>
      <c r="D210" s="447">
        <v>5</v>
      </c>
      <c r="E210" s="446">
        <v>14.696628571428571</v>
      </c>
    </row>
    <row r="211" spans="1:9" x14ac:dyDescent="0.3">
      <c r="A211" s="447">
        <v>6</v>
      </c>
      <c r="B211" s="446">
        <v>13.004684684684683</v>
      </c>
      <c r="D211" s="447">
        <v>6</v>
      </c>
      <c r="E211" s="446">
        <v>14.227528735632184</v>
      </c>
    </row>
    <row r="212" spans="1:9" x14ac:dyDescent="0.3">
      <c r="A212" s="447">
        <v>7</v>
      </c>
      <c r="B212" s="446">
        <v>13.243278688524589</v>
      </c>
      <c r="D212" s="447">
        <v>7</v>
      </c>
      <c r="E212" s="446">
        <v>11.926988304093568</v>
      </c>
    </row>
    <row r="213" spans="1:9" x14ac:dyDescent="0.3">
      <c r="A213" s="447">
        <v>8</v>
      </c>
      <c r="B213" s="446">
        <v>12.223206896551725</v>
      </c>
      <c r="D213" s="447">
        <v>8</v>
      </c>
      <c r="E213" s="446">
        <v>11.395128205128206</v>
      </c>
    </row>
    <row r="214" spans="1:9" x14ac:dyDescent="0.3">
      <c r="A214" s="447">
        <v>9</v>
      </c>
      <c r="B214" s="446">
        <v>10.655251798561151</v>
      </c>
      <c r="D214" s="447">
        <v>9</v>
      </c>
      <c r="E214" s="446">
        <v>10.504589371980675</v>
      </c>
    </row>
    <row r="215" spans="1:9" x14ac:dyDescent="0.3">
      <c r="A215">
        <v>0</v>
      </c>
      <c r="B215">
        <v>12.06</v>
      </c>
      <c r="D215">
        <v>0</v>
      </c>
      <c r="E215">
        <v>12.34</v>
      </c>
    </row>
    <row r="219" spans="1:9" x14ac:dyDescent="0.3">
      <c r="A219" s="473" t="s">
        <v>0</v>
      </c>
      <c r="B219" s="473" t="s">
        <v>616</v>
      </c>
      <c r="D219" s="440"/>
      <c r="E219" s="441"/>
      <c r="F219" s="441"/>
      <c r="G219" s="473"/>
      <c r="H219" s="473"/>
      <c r="I219" s="473"/>
    </row>
    <row r="220" spans="1:9" x14ac:dyDescent="0.3">
      <c r="A220">
        <v>1</v>
      </c>
      <c r="B220" s="441">
        <v>722</v>
      </c>
      <c r="D220" s="440"/>
      <c r="E220" s="441"/>
      <c r="F220" s="441"/>
      <c r="G220" s="473"/>
      <c r="H220" s="473"/>
      <c r="I220" s="473"/>
    </row>
    <row r="221" spans="1:9" x14ac:dyDescent="0.3">
      <c r="A221">
        <v>1</v>
      </c>
      <c r="B221" s="441">
        <v>561</v>
      </c>
      <c r="D221" s="440"/>
      <c r="E221" s="441"/>
      <c r="F221" s="441"/>
      <c r="G221" s="473"/>
      <c r="H221" s="473"/>
      <c r="I221" s="473"/>
    </row>
    <row r="222" spans="1:9" x14ac:dyDescent="0.3">
      <c r="A222">
        <v>1</v>
      </c>
      <c r="B222" s="473">
        <v>623</v>
      </c>
      <c r="D222" s="440"/>
      <c r="E222" s="441"/>
      <c r="F222" s="441"/>
      <c r="G222" s="473"/>
      <c r="H222" s="473"/>
      <c r="I222" s="473"/>
    </row>
    <row r="223" spans="1:9" x14ac:dyDescent="0.3">
      <c r="A223">
        <v>1</v>
      </c>
      <c r="B223" s="473">
        <v>621</v>
      </c>
      <c r="D223" s="440"/>
      <c r="E223" s="441"/>
      <c r="F223" s="441"/>
      <c r="G223" s="473"/>
      <c r="H223" s="473"/>
      <c r="I223" s="473"/>
    </row>
    <row r="224" spans="1:9" x14ac:dyDescent="0.3">
      <c r="A224">
        <v>1</v>
      </c>
      <c r="B224" s="473">
        <v>541</v>
      </c>
      <c r="D224" s="440"/>
      <c r="E224" s="441"/>
      <c r="F224" s="441"/>
      <c r="G224" s="473"/>
      <c r="H224" s="473"/>
      <c r="I224" s="473"/>
    </row>
    <row r="225" spans="1:9" x14ac:dyDescent="0.3">
      <c r="A225">
        <v>2</v>
      </c>
      <c r="B225" s="441">
        <v>722</v>
      </c>
      <c r="D225" s="440"/>
      <c r="E225" s="441"/>
      <c r="F225" s="441"/>
      <c r="G225" s="473"/>
      <c r="H225" s="473"/>
      <c r="I225" s="473"/>
    </row>
    <row r="226" spans="1:9" x14ac:dyDescent="0.3">
      <c r="A226" s="473">
        <v>2</v>
      </c>
      <c r="B226" s="441">
        <v>561</v>
      </c>
      <c r="D226" s="440"/>
      <c r="E226" s="441"/>
      <c r="F226" s="441"/>
      <c r="G226" s="473"/>
      <c r="H226" s="473"/>
      <c r="I226" s="473"/>
    </row>
    <row r="227" spans="1:9" x14ac:dyDescent="0.3">
      <c r="A227" s="445">
        <v>2</v>
      </c>
      <c r="B227" s="473">
        <v>621</v>
      </c>
      <c r="D227" s="440"/>
      <c r="E227" s="441"/>
      <c r="F227" s="441"/>
      <c r="G227" s="473"/>
      <c r="H227" s="473"/>
      <c r="I227" s="473"/>
    </row>
    <row r="228" spans="1:9" x14ac:dyDescent="0.3">
      <c r="A228" s="445">
        <v>2</v>
      </c>
      <c r="B228" s="473">
        <v>623</v>
      </c>
      <c r="D228" s="440"/>
      <c r="E228" s="441"/>
      <c r="F228" s="441"/>
      <c r="G228" s="473"/>
      <c r="H228" s="473"/>
      <c r="I228" s="473"/>
    </row>
    <row r="229" spans="1:9" x14ac:dyDescent="0.3">
      <c r="A229" s="445">
        <v>2</v>
      </c>
      <c r="B229" s="473">
        <v>814</v>
      </c>
      <c r="D229" s="440"/>
      <c r="E229" s="441"/>
      <c r="F229" s="441"/>
      <c r="G229" s="473"/>
      <c r="H229" s="473"/>
      <c r="I229" s="473"/>
    </row>
    <row r="230" spans="1:9" x14ac:dyDescent="0.3">
      <c r="A230" s="445">
        <v>3</v>
      </c>
      <c r="B230" s="441">
        <v>722</v>
      </c>
      <c r="D230" s="440"/>
      <c r="E230" s="441"/>
      <c r="F230" s="441"/>
      <c r="G230" s="473"/>
      <c r="H230" s="473"/>
      <c r="I230" s="473"/>
    </row>
    <row r="231" spans="1:9" x14ac:dyDescent="0.3">
      <c r="A231" s="445">
        <v>3</v>
      </c>
      <c r="B231" s="441">
        <v>561</v>
      </c>
      <c r="D231" s="440"/>
      <c r="E231" s="473"/>
      <c r="F231" s="473"/>
      <c r="G231" s="473"/>
      <c r="H231" s="473"/>
      <c r="I231" s="473"/>
    </row>
    <row r="232" spans="1:9" x14ac:dyDescent="0.3">
      <c r="A232" s="445">
        <v>3</v>
      </c>
      <c r="B232" s="473">
        <v>621</v>
      </c>
      <c r="D232" s="445"/>
      <c r="E232" s="446"/>
    </row>
    <row r="233" spans="1:9" x14ac:dyDescent="0.3">
      <c r="A233" s="445">
        <v>3</v>
      </c>
      <c r="B233" s="473">
        <v>623</v>
      </c>
      <c r="D233" s="445"/>
      <c r="E233" s="446"/>
    </row>
    <row r="234" spans="1:9" x14ac:dyDescent="0.3">
      <c r="A234" s="445">
        <v>3</v>
      </c>
      <c r="B234" s="473">
        <v>238</v>
      </c>
    </row>
    <row r="235" spans="1:9" x14ac:dyDescent="0.3">
      <c r="A235" s="445">
        <v>4</v>
      </c>
      <c r="B235" s="441">
        <v>722</v>
      </c>
    </row>
    <row r="236" spans="1:9" x14ac:dyDescent="0.3">
      <c r="A236" s="445">
        <v>4</v>
      </c>
      <c r="B236" s="441">
        <v>561</v>
      </c>
    </row>
    <row r="237" spans="1:9" x14ac:dyDescent="0.3">
      <c r="A237" s="445">
        <v>4</v>
      </c>
      <c r="B237" s="473">
        <v>238</v>
      </c>
    </row>
    <row r="238" spans="1:9" x14ac:dyDescent="0.3">
      <c r="A238" s="445">
        <v>4</v>
      </c>
      <c r="B238" s="473">
        <v>541</v>
      </c>
    </row>
    <row r="239" spans="1:9" x14ac:dyDescent="0.3">
      <c r="A239" s="445">
        <v>4</v>
      </c>
      <c r="B239" s="473">
        <v>621</v>
      </c>
    </row>
    <row r="240" spans="1:9" x14ac:dyDescent="0.3">
      <c r="A240" s="576">
        <v>5</v>
      </c>
      <c r="B240" s="441">
        <v>541</v>
      </c>
    </row>
    <row r="241" spans="1:2" x14ac:dyDescent="0.3">
      <c r="A241" s="576">
        <v>5</v>
      </c>
      <c r="B241" s="441">
        <v>722</v>
      </c>
    </row>
    <row r="242" spans="1:2" x14ac:dyDescent="0.3">
      <c r="A242" s="576">
        <v>5</v>
      </c>
      <c r="B242" s="473">
        <v>561</v>
      </c>
    </row>
    <row r="243" spans="1:2" x14ac:dyDescent="0.3">
      <c r="A243" s="576">
        <v>5</v>
      </c>
      <c r="B243" s="473">
        <v>814</v>
      </c>
    </row>
    <row r="244" spans="1:2" x14ac:dyDescent="0.3">
      <c r="A244" s="576">
        <v>5</v>
      </c>
      <c r="B244" s="473">
        <v>621</v>
      </c>
    </row>
    <row r="245" spans="1:2" x14ac:dyDescent="0.3">
      <c r="A245" s="576">
        <v>6</v>
      </c>
      <c r="B245" s="441">
        <v>722</v>
      </c>
    </row>
    <row r="246" spans="1:2" x14ac:dyDescent="0.3">
      <c r="A246" s="576">
        <v>6</v>
      </c>
      <c r="B246" s="441">
        <v>561</v>
      </c>
    </row>
    <row r="247" spans="1:2" x14ac:dyDescent="0.3">
      <c r="A247" s="576">
        <v>6</v>
      </c>
      <c r="B247" s="473">
        <v>621</v>
      </c>
    </row>
    <row r="248" spans="1:2" x14ac:dyDescent="0.3">
      <c r="A248" s="576">
        <v>6</v>
      </c>
      <c r="B248" s="473">
        <v>238</v>
      </c>
    </row>
    <row r="249" spans="1:2" x14ac:dyDescent="0.3">
      <c r="A249" s="576">
        <v>6</v>
      </c>
      <c r="B249" s="473">
        <v>624</v>
      </c>
    </row>
    <row r="250" spans="1:2" x14ac:dyDescent="0.3">
      <c r="A250" s="576">
        <v>7</v>
      </c>
      <c r="B250" s="441">
        <v>722</v>
      </c>
    </row>
    <row r="251" spans="1:2" x14ac:dyDescent="0.3">
      <c r="A251" s="576">
        <v>7</v>
      </c>
      <c r="B251" s="441">
        <v>561</v>
      </c>
    </row>
    <row r="252" spans="1:2" x14ac:dyDescent="0.3">
      <c r="A252" s="576">
        <v>7</v>
      </c>
      <c r="B252" s="473">
        <v>621</v>
      </c>
    </row>
    <row r="253" spans="1:2" x14ac:dyDescent="0.3">
      <c r="A253" s="576">
        <v>7</v>
      </c>
      <c r="B253" s="473">
        <v>541</v>
      </c>
    </row>
    <row r="254" spans="1:2" x14ac:dyDescent="0.3">
      <c r="A254" s="576">
        <v>7</v>
      </c>
      <c r="B254" s="473">
        <v>238</v>
      </c>
    </row>
    <row r="255" spans="1:2" x14ac:dyDescent="0.3">
      <c r="A255" s="576">
        <v>8</v>
      </c>
      <c r="B255" s="441">
        <v>111</v>
      </c>
    </row>
    <row r="256" spans="1:2" x14ac:dyDescent="0.3">
      <c r="A256" s="576">
        <v>8</v>
      </c>
      <c r="B256" s="441">
        <v>722</v>
      </c>
    </row>
    <row r="257" spans="1:2" x14ac:dyDescent="0.3">
      <c r="A257" s="576">
        <v>8</v>
      </c>
      <c r="B257" s="473">
        <v>115</v>
      </c>
    </row>
    <row r="258" spans="1:2" x14ac:dyDescent="0.3">
      <c r="A258" s="576">
        <v>8</v>
      </c>
      <c r="B258" s="473">
        <v>621</v>
      </c>
    </row>
    <row r="259" spans="1:2" x14ac:dyDescent="0.3">
      <c r="A259" s="576">
        <v>8</v>
      </c>
      <c r="B259" s="473">
        <v>814</v>
      </c>
    </row>
    <row r="260" spans="1:2" x14ac:dyDescent="0.3">
      <c r="A260" s="576">
        <v>9</v>
      </c>
      <c r="B260" s="441">
        <v>111</v>
      </c>
    </row>
    <row r="261" spans="1:2" x14ac:dyDescent="0.3">
      <c r="A261" s="576">
        <v>9</v>
      </c>
      <c r="B261" s="441">
        <v>311</v>
      </c>
    </row>
    <row r="262" spans="1:2" x14ac:dyDescent="0.3">
      <c r="A262" s="576">
        <v>9</v>
      </c>
      <c r="B262" s="473">
        <v>621</v>
      </c>
    </row>
    <row r="263" spans="1:2" x14ac:dyDescent="0.3">
      <c r="A263" s="576">
        <v>9</v>
      </c>
      <c r="B263" s="473">
        <v>115</v>
      </c>
    </row>
    <row r="264" spans="1:2" x14ac:dyDescent="0.3">
      <c r="A264" s="576">
        <v>9</v>
      </c>
      <c r="B264" s="473">
        <v>623</v>
      </c>
    </row>
    <row r="265" spans="1:2" x14ac:dyDescent="0.3">
      <c r="A265" s="576">
        <v>10</v>
      </c>
      <c r="B265" s="441">
        <v>722</v>
      </c>
    </row>
    <row r="266" spans="1:2" x14ac:dyDescent="0.3">
      <c r="A266" s="576">
        <v>10</v>
      </c>
      <c r="B266" s="441">
        <v>452</v>
      </c>
    </row>
    <row r="267" spans="1:2" x14ac:dyDescent="0.3">
      <c r="A267" s="576">
        <v>10</v>
      </c>
      <c r="B267" s="473">
        <v>111</v>
      </c>
    </row>
    <row r="268" spans="1:2" x14ac:dyDescent="0.3">
      <c r="A268" s="576">
        <v>10</v>
      </c>
      <c r="B268" s="473">
        <v>445</v>
      </c>
    </row>
    <row r="269" spans="1:2" x14ac:dyDescent="0.3">
      <c r="A269" s="576">
        <v>10</v>
      </c>
      <c r="B269" s="473">
        <v>623</v>
      </c>
    </row>
    <row r="270" spans="1:2" x14ac:dyDescent="0.3">
      <c r="A270" s="576">
        <v>11</v>
      </c>
      <c r="B270" s="441">
        <v>722</v>
      </c>
    </row>
    <row r="271" spans="1:2" x14ac:dyDescent="0.3">
      <c r="A271" s="576">
        <v>11</v>
      </c>
      <c r="B271" s="441">
        <v>541</v>
      </c>
    </row>
    <row r="272" spans="1:2" x14ac:dyDescent="0.3">
      <c r="A272" s="576">
        <v>11</v>
      </c>
      <c r="B272" s="473">
        <v>561</v>
      </c>
    </row>
    <row r="273" spans="1:2" x14ac:dyDescent="0.3">
      <c r="A273" s="576">
        <v>11</v>
      </c>
      <c r="B273" s="473">
        <v>562</v>
      </c>
    </row>
    <row r="274" spans="1:2" x14ac:dyDescent="0.3">
      <c r="A274" s="576">
        <v>11</v>
      </c>
      <c r="B274" s="473">
        <v>111</v>
      </c>
    </row>
    <row r="275" spans="1:2" x14ac:dyDescent="0.3">
      <c r="A275" s="576">
        <v>12</v>
      </c>
      <c r="B275" s="441">
        <v>722</v>
      </c>
    </row>
    <row r="276" spans="1:2" x14ac:dyDescent="0.3">
      <c r="A276" s="576">
        <v>12</v>
      </c>
      <c r="B276" s="441">
        <v>561</v>
      </c>
    </row>
    <row r="277" spans="1:2" x14ac:dyDescent="0.3">
      <c r="A277" s="576">
        <v>12</v>
      </c>
      <c r="B277" s="473">
        <v>452</v>
      </c>
    </row>
    <row r="278" spans="1:2" x14ac:dyDescent="0.3">
      <c r="A278" s="576">
        <v>12</v>
      </c>
      <c r="B278" s="473">
        <v>621</v>
      </c>
    </row>
    <row r="279" spans="1:2" x14ac:dyDescent="0.3">
      <c r="A279" s="576">
        <v>12</v>
      </c>
      <c r="B279" s="473">
        <v>541</v>
      </c>
    </row>
    <row r="280" spans="1:2" x14ac:dyDescent="0.3">
      <c r="A280" s="576">
        <v>0</v>
      </c>
      <c r="B280" s="473">
        <v>722</v>
      </c>
    </row>
    <row r="281" spans="1:2" x14ac:dyDescent="0.3">
      <c r="A281" s="576">
        <v>0</v>
      </c>
      <c r="B281" s="473">
        <v>561</v>
      </c>
    </row>
    <row r="282" spans="1:2" x14ac:dyDescent="0.3">
      <c r="A282" s="576">
        <v>0</v>
      </c>
      <c r="B282" s="473">
        <v>541</v>
      </c>
    </row>
    <row r="283" spans="1:2" x14ac:dyDescent="0.3">
      <c r="A283" s="576">
        <v>0</v>
      </c>
      <c r="B283" s="473">
        <v>621</v>
      </c>
    </row>
    <row r="284" spans="1:2" x14ac:dyDescent="0.3">
      <c r="A284" s="576">
        <v>0</v>
      </c>
      <c r="B284" s="473">
        <v>814</v>
      </c>
    </row>
  </sheetData>
  <pageMargins left="0.7" right="0.7" top="0.75" bottom="0.75" header="0.3" footer="0.3"/>
  <pageSetup orientation="portrait"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97"/>
  <sheetViews>
    <sheetView workbookViewId="0">
      <selection activeCell="J6" sqref="J6:J9"/>
    </sheetView>
  </sheetViews>
  <sheetFormatPr defaultColWidth="8.796875" defaultRowHeight="12" x14ac:dyDescent="0.15"/>
  <cols>
    <col min="1" max="1" width="28.296875" style="599" customWidth="1"/>
    <col min="2" max="2" width="14.8984375" style="599" customWidth="1"/>
    <col min="3" max="12" width="9.19921875" style="599" bestFit="1" customWidth="1"/>
    <col min="13" max="13" width="11.09765625" style="599" bestFit="1" customWidth="1"/>
    <col min="14" max="14" width="9.19921875" style="599" customWidth="1"/>
    <col min="15" max="15" width="12.8984375" style="599" customWidth="1"/>
    <col min="16" max="16" width="9.19921875" style="599" customWidth="1"/>
    <col min="17" max="17" width="12.8984375" style="599" customWidth="1"/>
    <col min="18" max="18" width="9.19921875" style="599" customWidth="1"/>
    <col min="19" max="19" width="12.8984375" style="599" customWidth="1"/>
    <col min="20" max="20" width="9.19921875" style="599" customWidth="1"/>
    <col min="21" max="21" width="12.8984375" style="599" customWidth="1"/>
    <col min="22" max="22" width="9.19921875" style="599" customWidth="1"/>
    <col min="23" max="23" width="12.8984375" style="599" customWidth="1"/>
    <col min="24" max="24" width="11.09765625" style="599" customWidth="1"/>
    <col min="25" max="25" width="13.796875" style="599" customWidth="1"/>
    <col min="26" max="26" width="17.59765625" style="599" bestFit="1" customWidth="1"/>
    <col min="27" max="27" width="14.796875" style="599" bestFit="1" customWidth="1"/>
    <col min="28" max="28" width="16.59765625" style="599" bestFit="1" customWidth="1"/>
    <col min="29" max="29" width="13.796875" style="599" customWidth="1"/>
    <col min="30" max="30" width="17.59765625" style="599" bestFit="1" customWidth="1"/>
    <col min="31" max="31" width="14.796875" style="599" customWidth="1"/>
    <col min="32" max="32" width="16.59765625" style="599" customWidth="1"/>
    <col min="33" max="33" width="13.796875" style="599" customWidth="1"/>
    <col min="34" max="34" width="17.59765625" style="599" bestFit="1" customWidth="1"/>
    <col min="35" max="35" width="14.796875" style="599" customWidth="1"/>
    <col min="36" max="36" width="16.59765625" style="599" customWidth="1"/>
    <col min="37" max="37" width="13.796875" style="599" customWidth="1"/>
    <col min="38" max="38" width="17.59765625" style="599" bestFit="1" customWidth="1"/>
    <col min="39" max="39" width="14.796875" style="599" bestFit="1" customWidth="1"/>
    <col min="40" max="40" width="16.59765625" style="599" bestFit="1" customWidth="1"/>
    <col min="41" max="41" width="13.796875" style="599" bestFit="1" customWidth="1"/>
    <col min="42" max="42" width="17.59765625" style="599" bestFit="1" customWidth="1"/>
    <col min="43" max="43" width="14.796875" style="599" bestFit="1" customWidth="1"/>
    <col min="44" max="44" width="16.59765625" style="599" bestFit="1" customWidth="1"/>
    <col min="45" max="45" width="13.796875" style="599" bestFit="1" customWidth="1"/>
    <col min="46" max="46" width="23.09765625" style="599" bestFit="1" customWidth="1"/>
    <col min="47" max="47" width="20.296875" style="599" bestFit="1" customWidth="1"/>
    <col min="48" max="48" width="22.19921875" style="599" bestFit="1" customWidth="1"/>
    <col min="49" max="49" width="19.3984375" style="599" bestFit="1" customWidth="1"/>
    <col min="50" max="16384" width="8.796875" style="599"/>
  </cols>
  <sheetData>
    <row r="3" spans="1:13" x14ac:dyDescent="0.15">
      <c r="A3" s="598"/>
      <c r="B3" s="598" t="s">
        <v>293</v>
      </c>
      <c r="C3" s="598"/>
      <c r="D3" s="598"/>
      <c r="E3" s="598"/>
      <c r="F3" s="598"/>
      <c r="G3" s="598"/>
      <c r="H3" s="598"/>
      <c r="I3" s="598"/>
      <c r="J3" s="598"/>
      <c r="K3" s="598"/>
      <c r="L3" s="598"/>
      <c r="M3" s="598"/>
    </row>
    <row r="4" spans="1:13" x14ac:dyDescent="0.15">
      <c r="A4" s="598" t="s">
        <v>181</v>
      </c>
      <c r="B4" s="598" t="s">
        <v>426</v>
      </c>
      <c r="C4" s="598" t="s">
        <v>427</v>
      </c>
      <c r="D4" s="598" t="s">
        <v>428</v>
      </c>
      <c r="E4" s="598" t="s">
        <v>429</v>
      </c>
      <c r="F4" s="598" t="s">
        <v>430</v>
      </c>
      <c r="G4" s="598" t="s">
        <v>431</v>
      </c>
      <c r="H4" s="598" t="s">
        <v>432</v>
      </c>
      <c r="I4" s="598" t="s">
        <v>433</v>
      </c>
      <c r="J4" s="598" t="s">
        <v>434</v>
      </c>
      <c r="K4" s="598" t="s">
        <v>435</v>
      </c>
      <c r="L4" s="598" t="s">
        <v>436</v>
      </c>
      <c r="M4" s="598" t="s">
        <v>182</v>
      </c>
    </row>
    <row r="5" spans="1:13" x14ac:dyDescent="0.15">
      <c r="A5" s="600">
        <v>0</v>
      </c>
      <c r="B5" s="601"/>
      <c r="C5" s="601"/>
      <c r="D5" s="601"/>
      <c r="E5" s="601"/>
      <c r="F5" s="601"/>
      <c r="G5" s="601"/>
      <c r="H5" s="601"/>
      <c r="I5" s="601"/>
      <c r="J5" s="601"/>
      <c r="K5" s="601"/>
      <c r="L5" s="601"/>
      <c r="M5" s="601"/>
    </row>
    <row r="6" spans="1:13" x14ac:dyDescent="0.15">
      <c r="A6" s="602" t="s">
        <v>129</v>
      </c>
      <c r="B6" s="601">
        <v>3532173</v>
      </c>
      <c r="C6" s="601">
        <v>3539823</v>
      </c>
      <c r="D6" s="601">
        <v>3548887</v>
      </c>
      <c r="E6" s="601">
        <v>3516687</v>
      </c>
      <c r="F6" s="601">
        <v>3525040</v>
      </c>
      <c r="G6" s="601">
        <v>3537857</v>
      </c>
      <c r="H6" s="601">
        <v>3536117</v>
      </c>
      <c r="I6" s="601">
        <v>3527497</v>
      </c>
      <c r="J6" s="601">
        <v>3493033</v>
      </c>
      <c r="K6" s="601">
        <v>3473933</v>
      </c>
      <c r="L6" s="601">
        <v>3485057</v>
      </c>
      <c r="M6" s="601">
        <v>38716104</v>
      </c>
    </row>
    <row r="7" spans="1:13" x14ac:dyDescent="0.15">
      <c r="A7" s="602" t="s">
        <v>422</v>
      </c>
      <c r="B7" s="601">
        <v>3210827</v>
      </c>
      <c r="C7" s="601">
        <v>3213507</v>
      </c>
      <c r="D7" s="601">
        <v>1080377</v>
      </c>
      <c r="E7" s="601">
        <v>3178390</v>
      </c>
      <c r="F7" s="601">
        <v>3144263</v>
      </c>
      <c r="G7" s="601">
        <v>3203803</v>
      </c>
      <c r="H7" s="601">
        <v>3214420</v>
      </c>
      <c r="I7" s="601">
        <v>3205983</v>
      </c>
      <c r="J7" s="601">
        <v>3148303</v>
      </c>
      <c r="K7" s="601">
        <v>3157260</v>
      </c>
      <c r="L7" s="601">
        <v>3176837</v>
      </c>
      <c r="M7" s="601">
        <v>32933970</v>
      </c>
    </row>
    <row r="8" spans="1:13" x14ac:dyDescent="0.15">
      <c r="A8" s="602" t="s">
        <v>194</v>
      </c>
      <c r="B8" s="601">
        <v>321347</v>
      </c>
      <c r="C8" s="601">
        <v>326317</v>
      </c>
      <c r="D8" s="601">
        <v>329033</v>
      </c>
      <c r="E8" s="601">
        <v>338297</v>
      </c>
      <c r="F8" s="601">
        <v>380777</v>
      </c>
      <c r="G8" s="601">
        <v>334053</v>
      </c>
      <c r="H8" s="601">
        <v>321697</v>
      </c>
      <c r="I8" s="601">
        <v>321513</v>
      </c>
      <c r="J8" s="601">
        <v>344730</v>
      </c>
      <c r="K8" s="601">
        <v>316673</v>
      </c>
      <c r="L8" s="601">
        <v>308220</v>
      </c>
      <c r="M8" s="601">
        <v>3642657</v>
      </c>
    </row>
    <row r="9" spans="1:13" x14ac:dyDescent="0.15">
      <c r="A9" s="602" t="s">
        <v>390</v>
      </c>
      <c r="B9" s="603">
        <v>9.0977140700639517E-2</v>
      </c>
      <c r="C9" s="603">
        <v>9.2184552730461389E-2</v>
      </c>
      <c r="D9" s="603">
        <v>9.2714420042114609E-2</v>
      </c>
      <c r="E9" s="603">
        <v>9.6197642838273631E-2</v>
      </c>
      <c r="F9" s="603">
        <v>0.10802061820575086</v>
      </c>
      <c r="G9" s="603">
        <v>9.4422414472942237E-2</v>
      </c>
      <c r="H9" s="603">
        <v>9.0974648180475931E-2</v>
      </c>
      <c r="I9" s="603">
        <v>9.1144797571762637E-2</v>
      </c>
      <c r="J9" s="603">
        <v>9.869073667497559E-2</v>
      </c>
      <c r="K9" s="603">
        <v>9.1156910625507168E-2</v>
      </c>
      <c r="L9" s="603">
        <v>8.8440447315495843E-2</v>
      </c>
      <c r="M9" s="603">
        <v>1.0349243293583994</v>
      </c>
    </row>
    <row r="10" spans="1:13" x14ac:dyDescent="0.15">
      <c r="A10" s="600">
        <v>1</v>
      </c>
      <c r="B10" s="601"/>
      <c r="C10" s="601"/>
      <c r="D10" s="601"/>
      <c r="E10" s="601"/>
      <c r="F10" s="601"/>
      <c r="G10" s="601"/>
      <c r="H10" s="601"/>
      <c r="I10" s="601"/>
      <c r="J10" s="601"/>
      <c r="K10" s="601"/>
      <c r="L10" s="601"/>
      <c r="M10" s="601"/>
    </row>
    <row r="11" spans="1:13" x14ac:dyDescent="0.15">
      <c r="A11" s="602" t="s">
        <v>129</v>
      </c>
      <c r="B11" s="601">
        <v>170807</v>
      </c>
      <c r="C11" s="601">
        <v>168997</v>
      </c>
      <c r="D11" s="601">
        <v>167483</v>
      </c>
      <c r="E11" s="601">
        <v>167833</v>
      </c>
      <c r="F11" s="601">
        <v>169233</v>
      </c>
      <c r="G11" s="601">
        <v>168543</v>
      </c>
      <c r="H11" s="601">
        <v>167310</v>
      </c>
      <c r="I11" s="601">
        <v>167893</v>
      </c>
      <c r="J11" s="601">
        <v>166703</v>
      </c>
      <c r="K11" s="601">
        <v>164280</v>
      </c>
      <c r="L11" s="601">
        <v>162070</v>
      </c>
      <c r="M11" s="601">
        <v>1841152</v>
      </c>
    </row>
    <row r="12" spans="1:13" x14ac:dyDescent="0.15">
      <c r="A12" s="602" t="s">
        <v>422</v>
      </c>
      <c r="B12" s="601">
        <v>156787</v>
      </c>
      <c r="C12" s="601">
        <v>154870</v>
      </c>
      <c r="D12" s="601">
        <v>153820</v>
      </c>
      <c r="E12" s="601">
        <v>154167</v>
      </c>
      <c r="F12" s="601">
        <v>152957</v>
      </c>
      <c r="G12" s="601">
        <v>154503</v>
      </c>
      <c r="H12" s="601">
        <v>153883</v>
      </c>
      <c r="I12" s="601">
        <v>154707</v>
      </c>
      <c r="J12" s="601">
        <v>151840</v>
      </c>
      <c r="K12" s="601">
        <v>150707</v>
      </c>
      <c r="L12" s="601">
        <v>149143</v>
      </c>
      <c r="M12" s="601">
        <v>1687384</v>
      </c>
    </row>
    <row r="13" spans="1:13" x14ac:dyDescent="0.15">
      <c r="A13" s="602" t="s">
        <v>194</v>
      </c>
      <c r="B13" s="601">
        <v>14020</v>
      </c>
      <c r="C13" s="601">
        <v>14127</v>
      </c>
      <c r="D13" s="601">
        <v>13663</v>
      </c>
      <c r="E13" s="601">
        <v>13667</v>
      </c>
      <c r="F13" s="601">
        <v>16277</v>
      </c>
      <c r="G13" s="601">
        <v>14040</v>
      </c>
      <c r="H13" s="601">
        <v>13427</v>
      </c>
      <c r="I13" s="601">
        <v>13187</v>
      </c>
      <c r="J13" s="601">
        <v>14863</v>
      </c>
      <c r="K13" s="601">
        <v>13573</v>
      </c>
      <c r="L13" s="601">
        <v>12927</v>
      </c>
      <c r="M13" s="601">
        <v>153771</v>
      </c>
    </row>
    <row r="14" spans="1:13" x14ac:dyDescent="0.15">
      <c r="A14" s="602" t="s">
        <v>390</v>
      </c>
      <c r="B14" s="603">
        <v>8.2080945160327157E-2</v>
      </c>
      <c r="C14" s="603">
        <v>8.3593199879287802E-2</v>
      </c>
      <c r="D14" s="603">
        <v>8.1578428855465929E-2</v>
      </c>
      <c r="E14" s="603">
        <v>8.1432137898982918E-2</v>
      </c>
      <c r="F14" s="603">
        <v>9.6181004886753768E-2</v>
      </c>
      <c r="G14" s="603">
        <v>8.3302184012388536E-2</v>
      </c>
      <c r="H14" s="603">
        <v>8.025222640607256E-2</v>
      </c>
      <c r="I14" s="603">
        <v>7.8544072712977905E-2</v>
      </c>
      <c r="J14" s="603">
        <v>8.9158563433171564E-2</v>
      </c>
      <c r="K14" s="603">
        <v>8.2621134648161676E-2</v>
      </c>
      <c r="L14" s="603">
        <v>7.9761831307459743E-2</v>
      </c>
      <c r="M14" s="603">
        <v>0.91850572920104956</v>
      </c>
    </row>
    <row r="15" spans="1:13" x14ac:dyDescent="0.15">
      <c r="A15" s="600">
        <v>2</v>
      </c>
      <c r="B15" s="601"/>
      <c r="C15" s="601"/>
      <c r="D15" s="601"/>
      <c r="E15" s="601"/>
      <c r="F15" s="601"/>
      <c r="G15" s="601"/>
      <c r="H15" s="601"/>
      <c r="I15" s="601"/>
      <c r="J15" s="601"/>
      <c r="K15" s="601"/>
      <c r="L15" s="601"/>
      <c r="M15" s="601"/>
    </row>
    <row r="16" spans="1:13" x14ac:dyDescent="0.15">
      <c r="A16" s="602" t="s">
        <v>129</v>
      </c>
      <c r="B16" s="601">
        <v>232750</v>
      </c>
      <c r="C16" s="601">
        <v>230537</v>
      </c>
      <c r="D16" s="601">
        <v>226713</v>
      </c>
      <c r="E16" s="601">
        <v>228827</v>
      </c>
      <c r="F16" s="601">
        <v>229957</v>
      </c>
      <c r="G16" s="601">
        <v>228663</v>
      </c>
      <c r="H16" s="601">
        <v>226110</v>
      </c>
      <c r="I16" s="601">
        <v>227483</v>
      </c>
      <c r="J16" s="601">
        <v>224743</v>
      </c>
      <c r="K16" s="601">
        <v>223237</v>
      </c>
      <c r="L16" s="601">
        <v>220407</v>
      </c>
      <c r="M16" s="601">
        <v>2499427</v>
      </c>
    </row>
    <row r="17" spans="1:13" x14ac:dyDescent="0.15">
      <c r="A17" s="602" t="s">
        <v>422</v>
      </c>
      <c r="B17" s="601">
        <v>209623</v>
      </c>
      <c r="C17" s="601">
        <v>207590</v>
      </c>
      <c r="D17" s="601">
        <v>204843</v>
      </c>
      <c r="E17" s="601">
        <v>206177</v>
      </c>
      <c r="F17" s="601">
        <v>203117</v>
      </c>
      <c r="G17" s="601">
        <v>205760</v>
      </c>
      <c r="H17" s="601">
        <v>204627</v>
      </c>
      <c r="I17" s="601">
        <v>206053</v>
      </c>
      <c r="J17" s="601">
        <v>200700</v>
      </c>
      <c r="K17" s="601">
        <v>201337</v>
      </c>
      <c r="L17" s="601">
        <v>199483</v>
      </c>
      <c r="M17" s="601">
        <v>2249310</v>
      </c>
    </row>
    <row r="18" spans="1:13" x14ac:dyDescent="0.15">
      <c r="A18" s="602" t="s">
        <v>194</v>
      </c>
      <c r="B18" s="601">
        <v>23127</v>
      </c>
      <c r="C18" s="601">
        <v>22947</v>
      </c>
      <c r="D18" s="601">
        <v>21870</v>
      </c>
      <c r="E18" s="601">
        <v>22650</v>
      </c>
      <c r="F18" s="601">
        <v>26840</v>
      </c>
      <c r="G18" s="601">
        <v>22903</v>
      </c>
      <c r="H18" s="601">
        <v>21483</v>
      </c>
      <c r="I18" s="601">
        <v>21430</v>
      </c>
      <c r="J18" s="601">
        <v>24043</v>
      </c>
      <c r="K18" s="601">
        <v>21900</v>
      </c>
      <c r="L18" s="601">
        <v>20923</v>
      </c>
      <c r="M18" s="601">
        <v>250116</v>
      </c>
    </row>
    <row r="19" spans="1:13" x14ac:dyDescent="0.15">
      <c r="A19" s="602" t="s">
        <v>390</v>
      </c>
      <c r="B19" s="603">
        <v>9.9364124597207309E-2</v>
      </c>
      <c r="C19" s="603">
        <v>9.9537167569630908E-2</v>
      </c>
      <c r="D19" s="603">
        <v>9.646557541914226E-2</v>
      </c>
      <c r="E19" s="603">
        <v>9.898307454976904E-2</v>
      </c>
      <c r="F19" s="603">
        <v>0.11671747326674117</v>
      </c>
      <c r="G19" s="603">
        <v>0.10016049820040847</v>
      </c>
      <c r="H19" s="603">
        <v>9.5011277696696303E-2</v>
      </c>
      <c r="I19" s="603">
        <v>9.4204841680477228E-2</v>
      </c>
      <c r="J19" s="603">
        <v>0.10697997267990549</v>
      </c>
      <c r="K19" s="603">
        <v>9.8102017138735967E-2</v>
      </c>
      <c r="L19" s="603">
        <v>9.4928926939707003E-2</v>
      </c>
      <c r="M19" s="603">
        <v>1.1004549497384213</v>
      </c>
    </row>
    <row r="20" spans="1:13" x14ac:dyDescent="0.15">
      <c r="A20" s="600">
        <v>3</v>
      </c>
      <c r="B20" s="601"/>
      <c r="C20" s="601"/>
      <c r="D20" s="601"/>
      <c r="E20" s="601"/>
      <c r="F20" s="601"/>
      <c r="G20" s="601"/>
      <c r="H20" s="601"/>
      <c r="I20" s="601"/>
      <c r="J20" s="601"/>
      <c r="K20" s="601"/>
      <c r="L20" s="601"/>
      <c r="M20" s="601"/>
    </row>
    <row r="21" spans="1:13" x14ac:dyDescent="0.15">
      <c r="A21" s="602" t="s">
        <v>129</v>
      </c>
      <c r="B21" s="601">
        <v>209373</v>
      </c>
      <c r="C21" s="601">
        <v>208673</v>
      </c>
      <c r="D21" s="601">
        <v>207490</v>
      </c>
      <c r="E21" s="601">
        <v>205403</v>
      </c>
      <c r="F21" s="601">
        <v>206433</v>
      </c>
      <c r="G21" s="601">
        <v>207553</v>
      </c>
      <c r="H21" s="601">
        <v>207003</v>
      </c>
      <c r="I21" s="601">
        <v>205730</v>
      </c>
      <c r="J21" s="601">
        <v>203350</v>
      </c>
      <c r="K21" s="601">
        <v>201800</v>
      </c>
      <c r="L21" s="601">
        <v>201503</v>
      </c>
      <c r="M21" s="601">
        <v>2264311</v>
      </c>
    </row>
    <row r="22" spans="1:13" x14ac:dyDescent="0.15">
      <c r="A22" s="602" t="s">
        <v>422</v>
      </c>
      <c r="B22" s="601">
        <v>191343</v>
      </c>
      <c r="C22" s="601">
        <v>190067</v>
      </c>
      <c r="D22" s="601">
        <v>188797</v>
      </c>
      <c r="E22" s="601">
        <v>186587</v>
      </c>
      <c r="F22" s="601">
        <v>184077</v>
      </c>
      <c r="G22" s="601">
        <v>188673</v>
      </c>
      <c r="H22" s="601">
        <v>189143</v>
      </c>
      <c r="I22" s="601">
        <v>188077</v>
      </c>
      <c r="J22" s="601">
        <v>183250</v>
      </c>
      <c r="K22" s="601">
        <v>184030</v>
      </c>
      <c r="L22" s="601">
        <v>184447</v>
      </c>
      <c r="M22" s="601">
        <v>2058491</v>
      </c>
    </row>
    <row r="23" spans="1:13" x14ac:dyDescent="0.15">
      <c r="A23" s="602" t="s">
        <v>194</v>
      </c>
      <c r="B23" s="601">
        <v>18030</v>
      </c>
      <c r="C23" s="601">
        <v>18607</v>
      </c>
      <c r="D23" s="601">
        <v>18693</v>
      </c>
      <c r="E23" s="601">
        <v>18817</v>
      </c>
      <c r="F23" s="601">
        <v>22357</v>
      </c>
      <c r="G23" s="601">
        <v>18880</v>
      </c>
      <c r="H23" s="601">
        <v>17860</v>
      </c>
      <c r="I23" s="601">
        <v>17653</v>
      </c>
      <c r="J23" s="601">
        <v>20100</v>
      </c>
      <c r="K23" s="601">
        <v>17770</v>
      </c>
      <c r="L23" s="601">
        <v>17057</v>
      </c>
      <c r="M23" s="601">
        <v>205824</v>
      </c>
    </row>
    <row r="24" spans="1:13" x14ac:dyDescent="0.15">
      <c r="A24" s="602" t="s">
        <v>390</v>
      </c>
      <c r="B24" s="603">
        <v>8.6114255419753261E-2</v>
      </c>
      <c r="C24" s="603">
        <v>8.9168220133893694E-2</v>
      </c>
      <c r="D24" s="603">
        <v>9.0091088727167576E-2</v>
      </c>
      <c r="E24" s="603">
        <v>9.1610151750461291E-2</v>
      </c>
      <c r="F24" s="603">
        <v>0.10830148280555919</v>
      </c>
      <c r="G24" s="603">
        <v>9.0964717445664478E-2</v>
      </c>
      <c r="H24" s="603">
        <v>8.6278942817253859E-2</v>
      </c>
      <c r="I24" s="603">
        <v>8.5806639770573082E-2</v>
      </c>
      <c r="J24" s="603">
        <v>9.8844357019916396E-2</v>
      </c>
      <c r="K24" s="603">
        <v>8.8057482656095143E-2</v>
      </c>
      <c r="L24" s="603">
        <v>8.4648863788628459E-2</v>
      </c>
      <c r="M24" s="603">
        <v>0.99988620233496639</v>
      </c>
    </row>
    <row r="25" spans="1:13" x14ac:dyDescent="0.15">
      <c r="A25" s="600">
        <v>4</v>
      </c>
      <c r="B25" s="601"/>
      <c r="C25" s="601"/>
      <c r="D25" s="601"/>
      <c r="E25" s="601"/>
      <c r="F25" s="601"/>
      <c r="G25" s="601"/>
      <c r="H25" s="601"/>
      <c r="I25" s="601"/>
      <c r="J25" s="601"/>
      <c r="K25" s="601"/>
      <c r="L25" s="601"/>
      <c r="M25" s="601"/>
    </row>
    <row r="26" spans="1:13" x14ac:dyDescent="0.15">
      <c r="A26" s="602" t="s">
        <v>129</v>
      </c>
      <c r="B26" s="601">
        <v>382303</v>
      </c>
      <c r="C26" s="601">
        <v>384130</v>
      </c>
      <c r="D26" s="601">
        <v>383680</v>
      </c>
      <c r="E26" s="601">
        <v>382053</v>
      </c>
      <c r="F26" s="601">
        <v>383070</v>
      </c>
      <c r="G26" s="601">
        <v>383340</v>
      </c>
      <c r="H26" s="601">
        <v>379930</v>
      </c>
      <c r="I26" s="601">
        <v>379867</v>
      </c>
      <c r="J26" s="601">
        <v>380653</v>
      </c>
      <c r="K26" s="601">
        <v>375313</v>
      </c>
      <c r="L26" s="601">
        <v>379200</v>
      </c>
      <c r="M26" s="601">
        <v>4193539</v>
      </c>
    </row>
    <row r="27" spans="1:13" x14ac:dyDescent="0.15">
      <c r="A27" s="602" t="s">
        <v>422</v>
      </c>
      <c r="B27" s="601">
        <v>346400</v>
      </c>
      <c r="C27" s="601">
        <v>346650</v>
      </c>
      <c r="D27" s="601">
        <v>345043</v>
      </c>
      <c r="E27" s="601">
        <v>341730</v>
      </c>
      <c r="F27" s="601">
        <v>341213</v>
      </c>
      <c r="G27" s="601">
        <v>344700</v>
      </c>
      <c r="H27" s="601">
        <v>342210</v>
      </c>
      <c r="I27" s="601">
        <v>341647</v>
      </c>
      <c r="J27" s="601">
        <v>341623</v>
      </c>
      <c r="K27" s="601">
        <v>339247</v>
      </c>
      <c r="L27" s="601">
        <v>343527</v>
      </c>
      <c r="M27" s="601">
        <v>3773990</v>
      </c>
    </row>
    <row r="28" spans="1:13" x14ac:dyDescent="0.15">
      <c r="A28" s="602" t="s">
        <v>194</v>
      </c>
      <c r="B28" s="601">
        <v>35903</v>
      </c>
      <c r="C28" s="601">
        <v>37480</v>
      </c>
      <c r="D28" s="601">
        <v>38637</v>
      </c>
      <c r="E28" s="601">
        <v>40323</v>
      </c>
      <c r="F28" s="601">
        <v>41857</v>
      </c>
      <c r="G28" s="601">
        <v>38640</v>
      </c>
      <c r="H28" s="601">
        <v>37720</v>
      </c>
      <c r="I28" s="601">
        <v>38220</v>
      </c>
      <c r="J28" s="601">
        <v>39030</v>
      </c>
      <c r="K28" s="601">
        <v>36067</v>
      </c>
      <c r="L28" s="601">
        <v>35673</v>
      </c>
      <c r="M28" s="601">
        <v>419550</v>
      </c>
    </row>
    <row r="29" spans="1:13" x14ac:dyDescent="0.15">
      <c r="A29" s="602" t="s">
        <v>390</v>
      </c>
      <c r="B29" s="603">
        <v>9.3912420253045359E-2</v>
      </c>
      <c r="C29" s="603">
        <v>9.7571134772082374E-2</v>
      </c>
      <c r="D29" s="603">
        <v>0.10070110508757298</v>
      </c>
      <c r="E29" s="603">
        <v>0.10554294822969588</v>
      </c>
      <c r="F29" s="603">
        <v>0.10926723575325659</v>
      </c>
      <c r="G29" s="603">
        <v>0.10079824698700893</v>
      </c>
      <c r="H29" s="603">
        <v>9.9281446582265148E-2</v>
      </c>
      <c r="I29" s="603">
        <v>0.10061416232523489</v>
      </c>
      <c r="J29" s="603">
        <v>0.10253432916593327</v>
      </c>
      <c r="K29" s="603">
        <v>9.6098456488317746E-2</v>
      </c>
      <c r="L29" s="603">
        <v>9.4074367088607599E-2</v>
      </c>
      <c r="M29" s="603">
        <v>1.1003958527330207</v>
      </c>
    </row>
    <row r="30" spans="1:13" x14ac:dyDescent="0.15">
      <c r="A30" s="600">
        <v>5</v>
      </c>
      <c r="B30" s="601"/>
      <c r="C30" s="601"/>
      <c r="D30" s="601"/>
      <c r="E30" s="601"/>
      <c r="F30" s="601"/>
      <c r="G30" s="601"/>
      <c r="H30" s="601"/>
      <c r="I30" s="601"/>
      <c r="J30" s="601"/>
      <c r="K30" s="601"/>
      <c r="L30" s="601"/>
      <c r="M30" s="601"/>
    </row>
    <row r="31" spans="1:13" x14ac:dyDescent="0.15">
      <c r="A31" s="602" t="s">
        <v>129</v>
      </c>
      <c r="B31" s="601">
        <v>1110973</v>
      </c>
      <c r="C31" s="601">
        <v>1120810</v>
      </c>
      <c r="D31" s="601">
        <v>1120347</v>
      </c>
      <c r="E31" s="601">
        <v>1111490</v>
      </c>
      <c r="F31" s="601">
        <v>1112207</v>
      </c>
      <c r="G31" s="601">
        <v>1116503</v>
      </c>
      <c r="H31" s="601">
        <v>1109087</v>
      </c>
      <c r="I31" s="601">
        <v>1108080</v>
      </c>
      <c r="J31" s="601">
        <v>1106450</v>
      </c>
      <c r="K31" s="601">
        <v>1095283</v>
      </c>
      <c r="L31" s="601">
        <v>1109877</v>
      </c>
      <c r="M31" s="601">
        <v>12221107</v>
      </c>
    </row>
    <row r="32" spans="1:13" x14ac:dyDescent="0.15">
      <c r="A32" s="602" t="s">
        <v>422</v>
      </c>
      <c r="B32" s="601">
        <v>1025813</v>
      </c>
      <c r="C32" s="601">
        <v>1026563</v>
      </c>
      <c r="D32" s="601">
        <v>1021793</v>
      </c>
      <c r="E32" s="601">
        <v>1011993</v>
      </c>
      <c r="F32" s="601">
        <v>1010453</v>
      </c>
      <c r="G32" s="601">
        <v>1020780</v>
      </c>
      <c r="H32" s="601">
        <v>1013410</v>
      </c>
      <c r="I32" s="601">
        <v>1011743</v>
      </c>
      <c r="J32" s="601">
        <v>1011677</v>
      </c>
      <c r="K32" s="601">
        <v>1004630</v>
      </c>
      <c r="L32" s="601">
        <v>1017307</v>
      </c>
      <c r="M32" s="601">
        <v>11176162</v>
      </c>
    </row>
    <row r="33" spans="1:13" x14ac:dyDescent="0.15">
      <c r="A33" s="602" t="s">
        <v>194</v>
      </c>
      <c r="B33" s="601">
        <v>85160</v>
      </c>
      <c r="C33" s="601">
        <v>94247</v>
      </c>
      <c r="D33" s="601">
        <v>98553</v>
      </c>
      <c r="E33" s="601">
        <v>99497</v>
      </c>
      <c r="F33" s="601">
        <v>101753</v>
      </c>
      <c r="G33" s="601">
        <v>95723</v>
      </c>
      <c r="H33" s="601">
        <v>95677</v>
      </c>
      <c r="I33" s="601">
        <v>96337</v>
      </c>
      <c r="J33" s="601">
        <v>94773</v>
      </c>
      <c r="K33" s="601">
        <v>90653</v>
      </c>
      <c r="L33" s="601">
        <v>92570</v>
      </c>
      <c r="M33" s="601">
        <v>1044943</v>
      </c>
    </row>
    <row r="34" spans="1:13" x14ac:dyDescent="0.15">
      <c r="A34" s="602" t="s">
        <v>390</v>
      </c>
      <c r="B34" s="603">
        <v>7.6653528033534563E-2</v>
      </c>
      <c r="C34" s="603">
        <v>8.4088293287890012E-2</v>
      </c>
      <c r="D34" s="603">
        <v>8.7966496094513569E-2</v>
      </c>
      <c r="E34" s="603">
        <v>8.9516774779800093E-2</v>
      </c>
      <c r="F34" s="603">
        <v>9.1487465912370627E-2</v>
      </c>
      <c r="G34" s="603">
        <v>8.5734655437558163E-2</v>
      </c>
      <c r="H34" s="603">
        <v>8.6266451594870369E-2</v>
      </c>
      <c r="I34" s="603">
        <v>8.6940473612013569E-2</v>
      </c>
      <c r="J34" s="603">
        <v>8.5655022820732979E-2</v>
      </c>
      <c r="K34" s="603">
        <v>8.2766736998565668E-2</v>
      </c>
      <c r="L34" s="603">
        <v>8.3405638642840604E-2</v>
      </c>
      <c r="M34" s="603">
        <v>0.94048153721469008</v>
      </c>
    </row>
    <row r="35" spans="1:13" x14ac:dyDescent="0.15">
      <c r="A35" s="600">
        <v>6</v>
      </c>
      <c r="B35" s="601"/>
      <c r="C35" s="601"/>
      <c r="D35" s="601"/>
      <c r="E35" s="601"/>
      <c r="F35" s="601"/>
      <c r="G35" s="601"/>
      <c r="H35" s="601"/>
      <c r="I35" s="601"/>
      <c r="J35" s="601"/>
      <c r="K35" s="601"/>
      <c r="L35" s="601"/>
      <c r="M35" s="601"/>
    </row>
    <row r="36" spans="1:13" x14ac:dyDescent="0.15">
      <c r="A36" s="602" t="s">
        <v>129</v>
      </c>
      <c r="B36" s="601">
        <v>403637</v>
      </c>
      <c r="C36" s="601">
        <v>397743</v>
      </c>
      <c r="D36" s="601">
        <v>391133</v>
      </c>
      <c r="E36" s="601">
        <v>395390</v>
      </c>
      <c r="F36" s="601">
        <v>399893</v>
      </c>
      <c r="G36" s="601">
        <v>396107</v>
      </c>
      <c r="H36" s="601">
        <v>391683</v>
      </c>
      <c r="I36" s="601">
        <v>398350</v>
      </c>
      <c r="J36" s="601">
        <v>394597</v>
      </c>
      <c r="K36" s="601">
        <v>390640</v>
      </c>
      <c r="L36" s="601">
        <v>384160</v>
      </c>
      <c r="M36" s="601">
        <v>4343333</v>
      </c>
    </row>
    <row r="37" spans="1:13" x14ac:dyDescent="0.15">
      <c r="A37" s="602" t="s">
        <v>422</v>
      </c>
      <c r="B37" s="601">
        <v>366237</v>
      </c>
      <c r="C37" s="601">
        <v>358583</v>
      </c>
      <c r="D37" s="601">
        <v>352607</v>
      </c>
      <c r="E37" s="601">
        <v>356867</v>
      </c>
      <c r="F37" s="601">
        <v>354467</v>
      </c>
      <c r="G37" s="601">
        <v>356933</v>
      </c>
      <c r="H37" s="601">
        <v>354773</v>
      </c>
      <c r="I37" s="601">
        <v>362203</v>
      </c>
      <c r="J37" s="601">
        <v>354057</v>
      </c>
      <c r="K37" s="601">
        <v>353040</v>
      </c>
      <c r="L37" s="601">
        <v>348260</v>
      </c>
      <c r="M37" s="601">
        <v>3918027</v>
      </c>
    </row>
    <row r="38" spans="1:13" x14ac:dyDescent="0.15">
      <c r="A38" s="602" t="s">
        <v>194</v>
      </c>
      <c r="B38" s="601">
        <v>37400</v>
      </c>
      <c r="C38" s="601">
        <v>39160</v>
      </c>
      <c r="D38" s="601">
        <v>38527</v>
      </c>
      <c r="E38" s="601">
        <v>38523</v>
      </c>
      <c r="F38" s="601">
        <v>45427</v>
      </c>
      <c r="G38" s="601">
        <v>39173</v>
      </c>
      <c r="H38" s="601">
        <v>36910</v>
      </c>
      <c r="I38" s="601">
        <v>36147</v>
      </c>
      <c r="J38" s="601">
        <v>40540</v>
      </c>
      <c r="K38" s="601">
        <v>37600</v>
      </c>
      <c r="L38" s="601">
        <v>35900</v>
      </c>
      <c r="M38" s="601">
        <v>425307</v>
      </c>
    </row>
    <row r="39" spans="1:13" x14ac:dyDescent="0.15">
      <c r="A39" s="602" t="s">
        <v>390</v>
      </c>
      <c r="B39" s="603">
        <v>9.2657511575995263E-2</v>
      </c>
      <c r="C39" s="603">
        <v>9.8455535358258975E-2</v>
      </c>
      <c r="D39" s="603">
        <v>9.8501021391700527E-2</v>
      </c>
      <c r="E39" s="603">
        <v>9.7430385189306759E-2</v>
      </c>
      <c r="F39" s="603">
        <v>0.11359788743488883</v>
      </c>
      <c r="G39" s="603">
        <v>9.889499554413328E-2</v>
      </c>
      <c r="H39" s="603">
        <v>9.4234368098692053E-2</v>
      </c>
      <c r="I39" s="603">
        <v>9.0741809966110198E-2</v>
      </c>
      <c r="J39" s="603">
        <v>0.1027377298864411</v>
      </c>
      <c r="K39" s="603">
        <v>9.6252303911529793E-2</v>
      </c>
      <c r="L39" s="603">
        <v>9.3450645564348192E-2</v>
      </c>
      <c r="M39" s="603">
        <v>1.0769541939214049</v>
      </c>
    </row>
    <row r="40" spans="1:13" x14ac:dyDescent="0.15">
      <c r="A40" s="600">
        <v>7</v>
      </c>
      <c r="B40" s="601"/>
      <c r="C40" s="601"/>
      <c r="D40" s="601"/>
      <c r="E40" s="601"/>
      <c r="F40" s="601"/>
      <c r="G40" s="601"/>
      <c r="H40" s="601"/>
      <c r="I40" s="601"/>
      <c r="J40" s="601"/>
      <c r="K40" s="601"/>
      <c r="L40" s="601"/>
      <c r="M40" s="601"/>
    </row>
    <row r="41" spans="1:13" x14ac:dyDescent="0.15">
      <c r="A41" s="602" t="s">
        <v>129</v>
      </c>
      <c r="B41" s="601">
        <v>269310</v>
      </c>
      <c r="C41" s="601">
        <v>263667</v>
      </c>
      <c r="D41" s="601">
        <v>262243</v>
      </c>
      <c r="E41" s="601">
        <v>266790</v>
      </c>
      <c r="F41" s="601">
        <v>269340</v>
      </c>
      <c r="G41" s="601">
        <v>266033</v>
      </c>
      <c r="H41" s="601">
        <v>263933</v>
      </c>
      <c r="I41" s="601">
        <v>267653</v>
      </c>
      <c r="J41" s="601">
        <v>263647</v>
      </c>
      <c r="K41" s="601">
        <v>261137</v>
      </c>
      <c r="L41" s="601">
        <v>256350</v>
      </c>
      <c r="M41" s="601">
        <v>2910103</v>
      </c>
    </row>
    <row r="42" spans="1:13" x14ac:dyDescent="0.15">
      <c r="A42" s="602" t="s">
        <v>422</v>
      </c>
      <c r="B42" s="601">
        <v>234967</v>
      </c>
      <c r="C42" s="601">
        <v>229433</v>
      </c>
      <c r="D42" s="601">
        <v>226627</v>
      </c>
      <c r="E42" s="601">
        <v>229967</v>
      </c>
      <c r="F42" s="601">
        <v>228240</v>
      </c>
      <c r="G42" s="601">
        <v>230230</v>
      </c>
      <c r="H42" s="601">
        <v>229630</v>
      </c>
      <c r="I42" s="601">
        <v>234197</v>
      </c>
      <c r="J42" s="601">
        <v>229260</v>
      </c>
      <c r="K42" s="601">
        <v>228457</v>
      </c>
      <c r="L42" s="601">
        <v>225437</v>
      </c>
      <c r="M42" s="601">
        <v>2526445</v>
      </c>
    </row>
    <row r="43" spans="1:13" x14ac:dyDescent="0.15">
      <c r="A43" s="602" t="s">
        <v>194</v>
      </c>
      <c r="B43" s="601">
        <v>34343</v>
      </c>
      <c r="C43" s="601">
        <v>34233</v>
      </c>
      <c r="D43" s="601">
        <v>35617</v>
      </c>
      <c r="E43" s="601">
        <v>36823</v>
      </c>
      <c r="F43" s="601">
        <v>41100</v>
      </c>
      <c r="G43" s="601">
        <v>35803</v>
      </c>
      <c r="H43" s="601">
        <v>34303</v>
      </c>
      <c r="I43" s="601">
        <v>33457</v>
      </c>
      <c r="J43" s="601">
        <v>34387</v>
      </c>
      <c r="K43" s="601">
        <v>32680</v>
      </c>
      <c r="L43" s="601">
        <v>30913</v>
      </c>
      <c r="M43" s="601">
        <v>383659</v>
      </c>
    </row>
    <row r="44" spans="1:13" x14ac:dyDescent="0.15">
      <c r="A44" s="602" t="s">
        <v>390</v>
      </c>
      <c r="B44" s="603">
        <v>0.12752218632802348</v>
      </c>
      <c r="C44" s="603">
        <v>0.12983422271273992</v>
      </c>
      <c r="D44" s="603">
        <v>0.13581678061950175</v>
      </c>
      <c r="E44" s="603">
        <v>0.13802241463323214</v>
      </c>
      <c r="F44" s="603">
        <v>0.15259523279126755</v>
      </c>
      <c r="G44" s="603">
        <v>0.13458104821582284</v>
      </c>
      <c r="H44" s="603">
        <v>0.12996859051350154</v>
      </c>
      <c r="I44" s="603">
        <v>0.12500140106780047</v>
      </c>
      <c r="J44" s="603">
        <v>0.13042818617317853</v>
      </c>
      <c r="K44" s="603">
        <v>0.12514503881104555</v>
      </c>
      <c r="L44" s="603">
        <v>0.12058903842402964</v>
      </c>
      <c r="M44" s="603">
        <v>1.4495041402901434</v>
      </c>
    </row>
    <row r="45" spans="1:13" x14ac:dyDescent="0.15">
      <c r="A45" s="600">
        <v>8</v>
      </c>
      <c r="B45" s="601"/>
      <c r="C45" s="601"/>
      <c r="D45" s="601"/>
      <c r="E45" s="601"/>
      <c r="F45" s="601"/>
      <c r="G45" s="601"/>
      <c r="H45" s="601"/>
      <c r="I45" s="601"/>
      <c r="J45" s="601"/>
      <c r="K45" s="601"/>
      <c r="L45" s="601"/>
      <c r="M45" s="601"/>
    </row>
    <row r="46" spans="1:13" x14ac:dyDescent="0.15">
      <c r="A46" s="602" t="s">
        <v>129</v>
      </c>
      <c r="B46" s="601">
        <v>127470</v>
      </c>
      <c r="C46" s="601">
        <v>134187</v>
      </c>
      <c r="D46" s="601">
        <v>153740</v>
      </c>
      <c r="E46" s="601">
        <v>132117</v>
      </c>
      <c r="F46" s="601">
        <v>127410</v>
      </c>
      <c r="G46" s="601">
        <v>135363</v>
      </c>
      <c r="H46" s="601">
        <v>150010</v>
      </c>
      <c r="I46" s="601">
        <v>134597</v>
      </c>
      <c r="J46" s="601">
        <v>127847</v>
      </c>
      <c r="K46" s="601">
        <v>134463</v>
      </c>
      <c r="L46" s="601">
        <v>148397</v>
      </c>
      <c r="M46" s="601">
        <v>1505601</v>
      </c>
    </row>
    <row r="47" spans="1:13" x14ac:dyDescent="0.15">
      <c r="A47" s="602" t="s">
        <v>422</v>
      </c>
      <c r="B47" s="601">
        <v>113897</v>
      </c>
      <c r="C47" s="601">
        <v>122667</v>
      </c>
      <c r="D47" s="601">
        <v>142603</v>
      </c>
      <c r="E47" s="601">
        <v>119587</v>
      </c>
      <c r="F47" s="601">
        <v>111563</v>
      </c>
      <c r="G47" s="601">
        <v>122903</v>
      </c>
      <c r="H47" s="601">
        <v>138553</v>
      </c>
      <c r="I47" s="601">
        <v>122583</v>
      </c>
      <c r="J47" s="601">
        <v>113647</v>
      </c>
      <c r="K47" s="601">
        <v>122640</v>
      </c>
      <c r="L47" s="601">
        <v>137710</v>
      </c>
      <c r="M47" s="601">
        <v>1368353</v>
      </c>
    </row>
    <row r="48" spans="1:13" x14ac:dyDescent="0.15">
      <c r="A48" s="602" t="s">
        <v>194</v>
      </c>
      <c r="B48" s="601">
        <v>13573</v>
      </c>
      <c r="C48" s="601">
        <v>11520</v>
      </c>
      <c r="D48" s="601">
        <v>11137</v>
      </c>
      <c r="E48" s="601">
        <v>12530</v>
      </c>
      <c r="F48" s="601">
        <v>15847</v>
      </c>
      <c r="G48" s="601">
        <v>12460</v>
      </c>
      <c r="H48" s="601">
        <v>11457</v>
      </c>
      <c r="I48" s="601">
        <v>12013</v>
      </c>
      <c r="J48" s="601">
        <v>14200</v>
      </c>
      <c r="K48" s="601">
        <v>11823</v>
      </c>
      <c r="L48" s="601">
        <v>10687</v>
      </c>
      <c r="M48" s="601">
        <v>137247</v>
      </c>
    </row>
    <row r="49" spans="1:13" x14ac:dyDescent="0.15">
      <c r="A49" s="602" t="s">
        <v>390</v>
      </c>
      <c r="B49" s="603">
        <v>0.10647995606809445</v>
      </c>
      <c r="C49" s="603">
        <v>8.5850343177804114E-2</v>
      </c>
      <c r="D49" s="603">
        <v>7.2440483933914404E-2</v>
      </c>
      <c r="E49" s="603">
        <v>9.4840179537833885E-2</v>
      </c>
      <c r="F49" s="603">
        <v>0.12437799230829605</v>
      </c>
      <c r="G49" s="603">
        <v>9.2048787334796073E-2</v>
      </c>
      <c r="H49" s="603">
        <v>7.6374908339444034E-2</v>
      </c>
      <c r="I49" s="603">
        <v>8.9251617792372784E-2</v>
      </c>
      <c r="J49" s="603">
        <v>0.11107026367454849</v>
      </c>
      <c r="K49" s="603">
        <v>8.7927533968452293E-2</v>
      </c>
      <c r="L49" s="603">
        <v>7.2016280652573844E-2</v>
      </c>
      <c r="M49" s="603">
        <v>1.0126783467881304</v>
      </c>
    </row>
    <row r="50" spans="1:13" x14ac:dyDescent="0.15">
      <c r="A50" s="600">
        <v>9</v>
      </c>
      <c r="B50" s="601"/>
      <c r="C50" s="601"/>
      <c r="D50" s="601"/>
      <c r="E50" s="601"/>
      <c r="F50" s="601"/>
      <c r="G50" s="601"/>
      <c r="H50" s="601"/>
      <c r="I50" s="601"/>
      <c r="J50" s="601"/>
      <c r="K50" s="601"/>
      <c r="L50" s="601"/>
      <c r="M50" s="601"/>
    </row>
    <row r="51" spans="1:13" x14ac:dyDescent="0.15">
      <c r="A51" s="602" t="s">
        <v>129</v>
      </c>
      <c r="B51" s="601">
        <v>157097</v>
      </c>
      <c r="C51" s="601">
        <v>161897</v>
      </c>
      <c r="D51" s="601">
        <v>171027</v>
      </c>
      <c r="E51" s="601">
        <v>160613</v>
      </c>
      <c r="F51" s="601">
        <v>158867</v>
      </c>
      <c r="G51" s="601">
        <v>163097</v>
      </c>
      <c r="H51" s="601">
        <v>171350</v>
      </c>
      <c r="I51" s="601">
        <v>164267</v>
      </c>
      <c r="J51" s="601">
        <v>158147</v>
      </c>
      <c r="K51" s="601">
        <v>160933</v>
      </c>
      <c r="L51" s="601">
        <v>165927</v>
      </c>
      <c r="M51" s="601">
        <v>1793222</v>
      </c>
    </row>
    <row r="52" spans="1:13" x14ac:dyDescent="0.15">
      <c r="A52" s="602" t="s">
        <v>422</v>
      </c>
      <c r="B52" s="601">
        <v>140877</v>
      </c>
      <c r="C52" s="601">
        <v>147397</v>
      </c>
      <c r="D52" s="601">
        <v>157120</v>
      </c>
      <c r="E52" s="601">
        <v>145463</v>
      </c>
      <c r="F52" s="601">
        <v>139657</v>
      </c>
      <c r="G52" s="601">
        <v>147310</v>
      </c>
      <c r="H52" s="601">
        <v>156617</v>
      </c>
      <c r="I52" s="601">
        <v>149460</v>
      </c>
      <c r="J52" s="601">
        <v>140503</v>
      </c>
      <c r="K52" s="601">
        <v>145207</v>
      </c>
      <c r="L52" s="601">
        <v>151323</v>
      </c>
      <c r="M52" s="601">
        <v>1620934</v>
      </c>
    </row>
    <row r="53" spans="1:13" x14ac:dyDescent="0.15">
      <c r="A53" s="602" t="s">
        <v>194</v>
      </c>
      <c r="B53" s="601">
        <v>16220</v>
      </c>
      <c r="C53" s="601">
        <v>14500</v>
      </c>
      <c r="D53" s="601">
        <v>13907</v>
      </c>
      <c r="E53" s="601">
        <v>15150</v>
      </c>
      <c r="F53" s="601">
        <v>19210</v>
      </c>
      <c r="G53" s="601">
        <v>15787</v>
      </c>
      <c r="H53" s="601">
        <v>14733</v>
      </c>
      <c r="I53" s="601">
        <v>14807</v>
      </c>
      <c r="J53" s="601">
        <v>17643</v>
      </c>
      <c r="K53" s="601">
        <v>15727</v>
      </c>
      <c r="L53" s="601">
        <v>14603</v>
      </c>
      <c r="M53" s="601">
        <v>172287</v>
      </c>
    </row>
    <row r="54" spans="1:13" x14ac:dyDescent="0.15">
      <c r="A54" s="602" t="s">
        <v>390</v>
      </c>
      <c r="B54" s="603">
        <v>0.10324831155273494</v>
      </c>
      <c r="C54" s="603">
        <v>8.9563117290623051E-2</v>
      </c>
      <c r="D54" s="603">
        <v>8.1314646225449788E-2</v>
      </c>
      <c r="E54" s="603">
        <v>9.432611307926507E-2</v>
      </c>
      <c r="F54" s="603">
        <v>0.12091875594050369</v>
      </c>
      <c r="G54" s="603">
        <v>9.6795158709234386E-2</v>
      </c>
      <c r="H54" s="603">
        <v>8.598190837467172E-2</v>
      </c>
      <c r="I54" s="603">
        <v>9.0139833320143428E-2</v>
      </c>
      <c r="J54" s="603">
        <v>0.11156076308750719</v>
      </c>
      <c r="K54" s="603">
        <v>9.7723897522571504E-2</v>
      </c>
      <c r="L54" s="603">
        <v>8.8008582087303458E-2</v>
      </c>
      <c r="M54" s="603">
        <v>1.0595810871900082</v>
      </c>
    </row>
    <row r="55" spans="1:13" x14ac:dyDescent="0.15">
      <c r="A55" s="600">
        <v>10</v>
      </c>
      <c r="B55" s="601"/>
      <c r="C55" s="601"/>
      <c r="D55" s="601"/>
      <c r="E55" s="601"/>
      <c r="F55" s="601"/>
      <c r="G55" s="601"/>
      <c r="H55" s="601"/>
      <c r="I55" s="601"/>
      <c r="J55" s="601"/>
      <c r="K55" s="601"/>
      <c r="L55" s="601"/>
      <c r="M55" s="601"/>
    </row>
    <row r="56" spans="1:13" x14ac:dyDescent="0.15">
      <c r="A56" s="602" t="s">
        <v>129</v>
      </c>
      <c r="B56" s="601">
        <v>98783</v>
      </c>
      <c r="C56" s="601">
        <v>99213</v>
      </c>
      <c r="D56" s="601">
        <v>97273</v>
      </c>
      <c r="E56" s="601">
        <v>98010</v>
      </c>
      <c r="F56" s="601">
        <v>98540</v>
      </c>
      <c r="G56" s="601">
        <v>99857</v>
      </c>
      <c r="H56" s="601">
        <v>98707</v>
      </c>
      <c r="I56" s="601">
        <v>98457</v>
      </c>
      <c r="J56" s="601">
        <v>97120</v>
      </c>
      <c r="K56" s="601">
        <v>97160</v>
      </c>
      <c r="L56" s="601">
        <v>96100</v>
      </c>
      <c r="M56" s="601">
        <v>1079220</v>
      </c>
    </row>
    <row r="57" spans="1:13" x14ac:dyDescent="0.15">
      <c r="A57" s="602" t="s">
        <v>422</v>
      </c>
      <c r="B57" s="601">
        <v>89223</v>
      </c>
      <c r="C57" s="601">
        <v>90610</v>
      </c>
      <c r="D57" s="601">
        <v>89087</v>
      </c>
      <c r="E57" s="601">
        <v>89623</v>
      </c>
      <c r="F57" s="601">
        <v>87840</v>
      </c>
      <c r="G57" s="601">
        <v>91133</v>
      </c>
      <c r="H57" s="601">
        <v>90593</v>
      </c>
      <c r="I57" s="601">
        <v>90553</v>
      </c>
      <c r="J57" s="601">
        <v>87527</v>
      </c>
      <c r="K57" s="601">
        <v>88857</v>
      </c>
      <c r="L57" s="601">
        <v>88273</v>
      </c>
      <c r="M57" s="601">
        <v>983319</v>
      </c>
    </row>
    <row r="58" spans="1:13" x14ac:dyDescent="0.15">
      <c r="A58" s="602" t="s">
        <v>194</v>
      </c>
      <c r="B58" s="601">
        <v>9560</v>
      </c>
      <c r="C58" s="601">
        <v>8603</v>
      </c>
      <c r="D58" s="601">
        <v>8187</v>
      </c>
      <c r="E58" s="601">
        <v>8387</v>
      </c>
      <c r="F58" s="601">
        <v>10700</v>
      </c>
      <c r="G58" s="601">
        <v>8723</v>
      </c>
      <c r="H58" s="601">
        <v>8113</v>
      </c>
      <c r="I58" s="601">
        <v>7903</v>
      </c>
      <c r="J58" s="601">
        <v>9593</v>
      </c>
      <c r="K58" s="601">
        <v>8303</v>
      </c>
      <c r="L58" s="601">
        <v>7827</v>
      </c>
      <c r="M58" s="601">
        <v>95899</v>
      </c>
    </row>
    <row r="59" spans="1:13" x14ac:dyDescent="0.15">
      <c r="A59" s="602" t="s">
        <v>390</v>
      </c>
      <c r="B59" s="603">
        <v>9.6777785651377263E-2</v>
      </c>
      <c r="C59" s="603">
        <v>8.6712426798907408E-2</v>
      </c>
      <c r="D59" s="603">
        <v>8.4165184583594621E-2</v>
      </c>
      <c r="E59" s="603">
        <v>8.5572900724415882E-2</v>
      </c>
      <c r="F59" s="603">
        <v>0.10858534605236453</v>
      </c>
      <c r="G59" s="603">
        <v>8.7354917532070864E-2</v>
      </c>
      <c r="H59" s="603">
        <v>8.2192752287071832E-2</v>
      </c>
      <c r="I59" s="603">
        <v>8.0268543628182865E-2</v>
      </c>
      <c r="J59" s="603">
        <v>9.8774711696869855E-2</v>
      </c>
      <c r="K59" s="603">
        <v>8.5456978180321122E-2</v>
      </c>
      <c r="L59" s="603">
        <v>8.1446409989594168E-2</v>
      </c>
      <c r="M59" s="603">
        <v>0.97730795712477048</v>
      </c>
    </row>
    <row r="60" spans="1:13" x14ac:dyDescent="0.15">
      <c r="A60" s="600">
        <v>11</v>
      </c>
      <c r="B60" s="601"/>
      <c r="C60" s="601"/>
      <c r="D60" s="601"/>
      <c r="E60" s="601"/>
      <c r="F60" s="601"/>
      <c r="G60" s="601"/>
      <c r="H60" s="601"/>
      <c r="I60" s="601"/>
      <c r="J60" s="601"/>
      <c r="K60" s="601"/>
      <c r="L60" s="601"/>
      <c r="M60" s="601"/>
    </row>
    <row r="61" spans="1:13" x14ac:dyDescent="0.15">
      <c r="A61" s="602" t="s">
        <v>129</v>
      </c>
      <c r="B61" s="601">
        <v>125097</v>
      </c>
      <c r="C61" s="601">
        <v>129930</v>
      </c>
      <c r="D61" s="601">
        <v>133423</v>
      </c>
      <c r="E61" s="601">
        <v>128993</v>
      </c>
      <c r="F61" s="601">
        <v>129717</v>
      </c>
      <c r="G61" s="601">
        <v>135500</v>
      </c>
      <c r="H61" s="601">
        <v>138703</v>
      </c>
      <c r="I61" s="601">
        <v>135183</v>
      </c>
      <c r="J61" s="601">
        <v>132293</v>
      </c>
      <c r="K61" s="601">
        <v>134490</v>
      </c>
      <c r="L61" s="601">
        <v>134463</v>
      </c>
      <c r="M61" s="601">
        <v>1457792</v>
      </c>
    </row>
    <row r="62" spans="1:13" x14ac:dyDescent="0.15">
      <c r="A62" s="602" t="s">
        <v>422</v>
      </c>
      <c r="B62" s="601">
        <v>114490</v>
      </c>
      <c r="C62" s="601">
        <v>120613</v>
      </c>
      <c r="D62" s="601">
        <v>124350</v>
      </c>
      <c r="E62" s="601">
        <v>119117</v>
      </c>
      <c r="F62" s="601">
        <v>117720</v>
      </c>
      <c r="G62" s="601">
        <v>125810</v>
      </c>
      <c r="H62" s="601">
        <v>129410</v>
      </c>
      <c r="I62" s="601">
        <v>125627</v>
      </c>
      <c r="J62" s="601">
        <v>121260</v>
      </c>
      <c r="K62" s="601">
        <v>124780</v>
      </c>
      <c r="L62" s="601">
        <v>125090</v>
      </c>
      <c r="M62" s="601">
        <v>1348267</v>
      </c>
    </row>
    <row r="63" spans="1:13" x14ac:dyDescent="0.15">
      <c r="A63" s="602" t="s">
        <v>194</v>
      </c>
      <c r="B63" s="601">
        <v>10607</v>
      </c>
      <c r="C63" s="601">
        <v>9317</v>
      </c>
      <c r="D63" s="601">
        <v>9073</v>
      </c>
      <c r="E63" s="601">
        <v>9877</v>
      </c>
      <c r="F63" s="601">
        <v>11997</v>
      </c>
      <c r="G63" s="601">
        <v>9690</v>
      </c>
      <c r="H63" s="601">
        <v>9293</v>
      </c>
      <c r="I63" s="601">
        <v>9557</v>
      </c>
      <c r="J63" s="601">
        <v>11033</v>
      </c>
      <c r="K63" s="601">
        <v>9710</v>
      </c>
      <c r="L63" s="601">
        <v>9373</v>
      </c>
      <c r="M63" s="601">
        <v>109527</v>
      </c>
    </row>
    <row r="64" spans="1:13" x14ac:dyDescent="0.15">
      <c r="A64" s="602" t="s">
        <v>390</v>
      </c>
      <c r="B64" s="603">
        <v>8.479020280262517E-2</v>
      </c>
      <c r="C64" s="603">
        <v>7.1707842684522433E-2</v>
      </c>
      <c r="D64" s="603">
        <v>6.8001768810474955E-2</v>
      </c>
      <c r="E64" s="603">
        <v>7.6570046436628347E-2</v>
      </c>
      <c r="F64" s="603">
        <v>9.2485950183861798E-2</v>
      </c>
      <c r="G64" s="603">
        <v>7.1512915129151297E-2</v>
      </c>
      <c r="H64" s="603">
        <v>6.6999271825411127E-2</v>
      </c>
      <c r="I64" s="603">
        <v>7.0696759207888565E-2</v>
      </c>
      <c r="J64" s="603">
        <v>8.3398214569175996E-2</v>
      </c>
      <c r="K64" s="603">
        <v>7.2198676481522783E-2</v>
      </c>
      <c r="L64" s="603">
        <v>6.9706908220105154E-2</v>
      </c>
      <c r="M64" s="603">
        <v>0.82806855635136756</v>
      </c>
    </row>
    <row r="65" spans="1:13" x14ac:dyDescent="0.15">
      <c r="A65" s="600">
        <v>12</v>
      </c>
      <c r="B65" s="601"/>
      <c r="C65" s="601"/>
      <c r="D65" s="601"/>
      <c r="E65" s="601"/>
      <c r="F65" s="601"/>
      <c r="G65" s="601"/>
      <c r="H65" s="601"/>
      <c r="I65" s="601"/>
      <c r="J65" s="601"/>
      <c r="K65" s="601"/>
      <c r="L65" s="601"/>
      <c r="M65" s="601"/>
    </row>
    <row r="66" spans="1:13" x14ac:dyDescent="0.15">
      <c r="A66" s="602" t="s">
        <v>129</v>
      </c>
      <c r="B66" s="601">
        <v>244630</v>
      </c>
      <c r="C66" s="601">
        <v>240093</v>
      </c>
      <c r="D66" s="601">
        <v>234370</v>
      </c>
      <c r="E66" s="601">
        <v>239197</v>
      </c>
      <c r="F66" s="601">
        <v>240403</v>
      </c>
      <c r="G66" s="601">
        <v>237310</v>
      </c>
      <c r="H66" s="601">
        <v>232337</v>
      </c>
      <c r="I66" s="601">
        <v>239960</v>
      </c>
      <c r="J66" s="601">
        <v>237533</v>
      </c>
      <c r="K66" s="601">
        <v>235217</v>
      </c>
      <c r="L66" s="601">
        <v>226663</v>
      </c>
      <c r="M66" s="601">
        <v>2607713</v>
      </c>
    </row>
    <row r="67" spans="1:13" x14ac:dyDescent="0.15">
      <c r="A67" s="602" t="s">
        <v>422</v>
      </c>
      <c r="B67" s="601">
        <v>221210</v>
      </c>
      <c r="C67" s="601">
        <v>218500</v>
      </c>
      <c r="D67" s="601">
        <v>213177</v>
      </c>
      <c r="E67" s="601">
        <v>217123</v>
      </c>
      <c r="F67" s="601">
        <v>212967</v>
      </c>
      <c r="G67" s="601">
        <v>215073</v>
      </c>
      <c r="H67" s="601">
        <v>211583</v>
      </c>
      <c r="I67" s="601">
        <v>219157</v>
      </c>
      <c r="J67" s="601">
        <v>212977</v>
      </c>
      <c r="K67" s="601">
        <v>214337</v>
      </c>
      <c r="L67" s="601">
        <v>206863</v>
      </c>
      <c r="M67" s="601">
        <v>2362967</v>
      </c>
    </row>
    <row r="68" spans="1:13" x14ac:dyDescent="0.15">
      <c r="A68" s="602" t="s">
        <v>194</v>
      </c>
      <c r="B68" s="601">
        <v>23420</v>
      </c>
      <c r="C68" s="601">
        <v>21593</v>
      </c>
      <c r="D68" s="601">
        <v>21193</v>
      </c>
      <c r="E68" s="601">
        <v>22073</v>
      </c>
      <c r="F68" s="601">
        <v>27437</v>
      </c>
      <c r="G68" s="601">
        <v>22237</v>
      </c>
      <c r="H68" s="601">
        <v>20753</v>
      </c>
      <c r="I68" s="601">
        <v>20803</v>
      </c>
      <c r="J68" s="601">
        <v>24557</v>
      </c>
      <c r="K68" s="601">
        <v>20880</v>
      </c>
      <c r="L68" s="601">
        <v>19800</v>
      </c>
      <c r="M68" s="601">
        <v>244746</v>
      </c>
    </row>
    <row r="69" spans="1:13" x14ac:dyDescent="0.15">
      <c r="A69" s="602" t="s">
        <v>390</v>
      </c>
      <c r="B69" s="603">
        <v>9.5736418264317544E-2</v>
      </c>
      <c r="C69" s="603">
        <v>8.9935983139866629E-2</v>
      </c>
      <c r="D69" s="603">
        <v>9.0425395741775827E-2</v>
      </c>
      <c r="E69" s="603">
        <v>9.2279585446305767E-2</v>
      </c>
      <c r="F69" s="603">
        <v>0.11412919139944178</v>
      </c>
      <c r="G69" s="603">
        <v>9.3704437233997726E-2</v>
      </c>
      <c r="H69" s="603">
        <v>8.9322837085784867E-2</v>
      </c>
      <c r="I69" s="603">
        <v>8.669361560260043E-2</v>
      </c>
      <c r="J69" s="603">
        <v>0.10338352986742895</v>
      </c>
      <c r="K69" s="603">
        <v>8.8769094070581631E-2</v>
      </c>
      <c r="L69" s="603">
        <v>8.735435426161306E-2</v>
      </c>
      <c r="M69" s="603">
        <v>1.0317344421137142</v>
      </c>
    </row>
    <row r="70" spans="1:13" hidden="1" x14ac:dyDescent="0.15">
      <c r="A70" s="600" t="s">
        <v>391</v>
      </c>
      <c r="B70" s="601">
        <v>7064403</v>
      </c>
      <c r="C70" s="601">
        <v>7079700</v>
      </c>
      <c r="D70" s="601">
        <v>7097809</v>
      </c>
      <c r="E70" s="601">
        <v>7033403</v>
      </c>
      <c r="F70" s="601">
        <v>7050110</v>
      </c>
      <c r="G70" s="601">
        <v>7075726</v>
      </c>
      <c r="H70" s="601">
        <v>7072280</v>
      </c>
      <c r="I70" s="601">
        <v>7055017</v>
      </c>
      <c r="J70" s="601">
        <v>6986116</v>
      </c>
      <c r="K70" s="601">
        <v>6947886</v>
      </c>
      <c r="L70" s="601">
        <v>6970174</v>
      </c>
      <c r="M70" s="601">
        <v>77432624</v>
      </c>
    </row>
    <row r="71" spans="1:13" hidden="1" x14ac:dyDescent="0.15">
      <c r="A71" s="600" t="s">
        <v>423</v>
      </c>
      <c r="B71" s="601">
        <v>6421694</v>
      </c>
      <c r="C71" s="601">
        <v>6427050</v>
      </c>
      <c r="D71" s="601">
        <v>4300244</v>
      </c>
      <c r="E71" s="601">
        <v>6356791</v>
      </c>
      <c r="F71" s="601">
        <v>6288534</v>
      </c>
      <c r="G71" s="601">
        <v>6407611</v>
      </c>
      <c r="H71" s="601">
        <v>6428852</v>
      </c>
      <c r="I71" s="601">
        <v>6411990</v>
      </c>
      <c r="J71" s="601">
        <v>6296624</v>
      </c>
      <c r="K71" s="601">
        <v>6314529</v>
      </c>
      <c r="L71" s="601">
        <v>6353700</v>
      </c>
      <c r="M71" s="601">
        <v>68007619</v>
      </c>
    </row>
    <row r="72" spans="1:13" hidden="1" x14ac:dyDescent="0.15">
      <c r="A72" s="600" t="s">
        <v>392</v>
      </c>
      <c r="B72" s="601">
        <v>642710</v>
      </c>
      <c r="C72" s="601">
        <v>652651</v>
      </c>
      <c r="D72" s="601">
        <v>658090</v>
      </c>
      <c r="E72" s="601">
        <v>676614</v>
      </c>
      <c r="F72" s="601">
        <v>761579</v>
      </c>
      <c r="G72" s="601">
        <v>668112</v>
      </c>
      <c r="H72" s="601">
        <v>643426</v>
      </c>
      <c r="I72" s="601">
        <v>643027</v>
      </c>
      <c r="J72" s="601">
        <v>689492</v>
      </c>
      <c r="K72" s="601">
        <v>633359</v>
      </c>
      <c r="L72" s="601">
        <v>616473</v>
      </c>
      <c r="M72" s="601">
        <v>7285533</v>
      </c>
    </row>
    <row r="73" spans="1:13" hidden="1" x14ac:dyDescent="0.15">
      <c r="A73" s="600" t="s">
        <v>393</v>
      </c>
      <c r="B73" s="603">
        <v>1.2363147864076751</v>
      </c>
      <c r="C73" s="603">
        <v>1.1982020395359687</v>
      </c>
      <c r="D73" s="603">
        <v>1.1801823955323889</v>
      </c>
      <c r="E73" s="603">
        <v>1.2423243550939707</v>
      </c>
      <c r="F73" s="603">
        <v>1.4566656369410562</v>
      </c>
      <c r="G73" s="603">
        <v>1.2302749762551772</v>
      </c>
      <c r="H73" s="603">
        <v>1.1631396298022112</v>
      </c>
      <c r="I73" s="603">
        <v>1.1700485682581379</v>
      </c>
      <c r="J73" s="603">
        <v>1.3232163807497856</v>
      </c>
      <c r="K73" s="603">
        <v>1.192276261501408</v>
      </c>
      <c r="L73" s="603">
        <v>1.1378322942823067</v>
      </c>
      <c r="M73" s="603">
        <v>13.530477324360085</v>
      </c>
    </row>
    <row r="74" spans="1:13" ht="18.75" x14ac:dyDescent="0.3">
      <c r="A74" s="604"/>
      <c r="B74" s="604"/>
      <c r="C74" s="604"/>
      <c r="D74" s="604"/>
      <c r="E74" s="604"/>
      <c r="F74" s="604"/>
      <c r="G74" s="604"/>
      <c r="H74" s="604"/>
      <c r="I74" s="604"/>
      <c r="J74" s="604"/>
      <c r="K74" s="604"/>
      <c r="L74" s="604"/>
      <c r="M74" s="604"/>
    </row>
    <row r="75" spans="1:13" ht="18.75" x14ac:dyDescent="0.3">
      <c r="A75" s="604"/>
      <c r="B75" s="604"/>
      <c r="C75" s="604"/>
      <c r="D75" s="604"/>
      <c r="E75" s="604"/>
      <c r="F75" s="604"/>
      <c r="G75" s="604"/>
      <c r="H75" s="604"/>
      <c r="I75" s="604"/>
      <c r="J75" s="604"/>
      <c r="K75" s="604"/>
      <c r="L75" s="604"/>
      <c r="M75" s="604"/>
    </row>
    <row r="76" spans="1:13" ht="18.75" x14ac:dyDescent="0.3">
      <c r="A76" s="604"/>
      <c r="B76" s="604"/>
      <c r="C76" s="604"/>
      <c r="D76" s="604"/>
      <c r="E76" s="604"/>
      <c r="F76" s="604"/>
      <c r="G76" s="604"/>
      <c r="H76" s="604"/>
      <c r="I76" s="604"/>
      <c r="J76" s="604"/>
      <c r="K76" s="604"/>
      <c r="L76" s="604"/>
      <c r="M76" s="604"/>
    </row>
    <row r="77" spans="1:13" ht="18.75" x14ac:dyDescent="0.3">
      <c r="A77" s="604"/>
      <c r="B77" s="604"/>
      <c r="C77" s="604"/>
      <c r="D77" s="604"/>
      <c r="E77" s="604"/>
      <c r="F77" s="604"/>
      <c r="G77" s="604"/>
      <c r="H77" s="604"/>
      <c r="I77" s="604"/>
      <c r="J77" s="604"/>
      <c r="K77" s="604"/>
      <c r="L77" s="604"/>
      <c r="M77" s="604"/>
    </row>
    <row r="78" spans="1:13" ht="18.75" x14ac:dyDescent="0.3">
      <c r="A78" s="604"/>
      <c r="B78" s="604"/>
      <c r="C78" s="604"/>
      <c r="D78" s="604"/>
      <c r="E78" s="604"/>
      <c r="F78" s="604"/>
      <c r="G78" s="604"/>
      <c r="H78" s="604"/>
      <c r="I78" s="604"/>
      <c r="J78" s="604"/>
      <c r="K78" s="604"/>
      <c r="L78" s="604"/>
      <c r="M78" s="604"/>
    </row>
    <row r="79" spans="1:13" ht="18.75" x14ac:dyDescent="0.3">
      <c r="A79" s="604"/>
      <c r="B79" s="604"/>
      <c r="C79" s="604"/>
      <c r="D79" s="604"/>
      <c r="E79" s="604"/>
      <c r="F79" s="604"/>
      <c r="G79" s="604"/>
      <c r="H79" s="604"/>
      <c r="I79" s="604"/>
      <c r="J79" s="604"/>
      <c r="K79" s="604"/>
      <c r="L79" s="604"/>
      <c r="M79" s="604"/>
    </row>
    <row r="80" spans="1:13" ht="18.75" x14ac:dyDescent="0.3">
      <c r="A80" s="604"/>
      <c r="B80" s="604"/>
      <c r="C80" s="604"/>
      <c r="D80" s="604"/>
      <c r="E80" s="604"/>
      <c r="F80" s="604"/>
      <c r="G80" s="604"/>
      <c r="H80" s="604"/>
      <c r="I80" s="604"/>
      <c r="J80" s="604"/>
      <c r="K80" s="604"/>
      <c r="L80" s="604"/>
      <c r="M80" s="604"/>
    </row>
    <row r="81" spans="1:13" ht="18.75" x14ac:dyDescent="0.3">
      <c r="A81" s="604"/>
      <c r="B81" s="604"/>
      <c r="C81" s="604"/>
      <c r="D81" s="604"/>
      <c r="E81" s="604"/>
      <c r="F81" s="604"/>
      <c r="G81" s="604"/>
      <c r="H81" s="604"/>
      <c r="I81" s="604"/>
      <c r="J81" s="604"/>
      <c r="K81" s="604"/>
      <c r="L81" s="604"/>
      <c r="M81" s="604"/>
    </row>
    <row r="82" spans="1:13" ht="18.75" x14ac:dyDescent="0.3">
      <c r="A82" s="604"/>
      <c r="B82" s="604"/>
      <c r="C82" s="604"/>
      <c r="D82" s="604"/>
      <c r="E82" s="604"/>
      <c r="F82" s="604"/>
      <c r="G82" s="604"/>
      <c r="H82" s="604"/>
      <c r="I82" s="604"/>
      <c r="J82" s="604"/>
      <c r="K82" s="604"/>
      <c r="L82" s="604"/>
      <c r="M82" s="604"/>
    </row>
    <row r="83" spans="1:13" ht="18.75" x14ac:dyDescent="0.3">
      <c r="A83" s="604"/>
      <c r="B83" s="604"/>
      <c r="C83" s="604"/>
      <c r="D83" s="604"/>
      <c r="E83" s="604"/>
      <c r="F83" s="604"/>
      <c r="G83" s="604"/>
      <c r="H83" s="604"/>
      <c r="I83" s="604"/>
      <c r="J83" s="604"/>
      <c r="K83" s="604"/>
      <c r="L83" s="604"/>
      <c r="M83" s="604"/>
    </row>
    <row r="84" spans="1:13" ht="18.75" x14ac:dyDescent="0.3">
      <c r="A84" s="604"/>
      <c r="B84" s="604"/>
      <c r="C84" s="604"/>
      <c r="D84" s="604"/>
      <c r="E84" s="604"/>
      <c r="F84" s="604"/>
      <c r="G84" s="604"/>
      <c r="H84" s="604"/>
      <c r="I84" s="604"/>
      <c r="J84" s="604"/>
      <c r="K84" s="604"/>
      <c r="L84" s="604"/>
      <c r="M84" s="604"/>
    </row>
    <row r="85" spans="1:13" ht="18.75" x14ac:dyDescent="0.3">
      <c r="A85" s="604"/>
      <c r="B85" s="604"/>
      <c r="C85" s="604"/>
      <c r="D85" s="604"/>
      <c r="E85" s="604"/>
      <c r="F85" s="604"/>
      <c r="G85" s="604"/>
      <c r="H85" s="604"/>
      <c r="I85" s="604"/>
      <c r="J85" s="604"/>
      <c r="K85" s="604"/>
      <c r="L85" s="604"/>
      <c r="M85" s="604"/>
    </row>
    <row r="86" spans="1:13" ht="18.75" x14ac:dyDescent="0.3">
      <c r="A86" s="604"/>
      <c r="B86" s="604"/>
      <c r="C86" s="604"/>
      <c r="D86" s="604"/>
      <c r="E86" s="604"/>
      <c r="F86" s="604"/>
      <c r="G86" s="604"/>
      <c r="H86" s="604"/>
      <c r="I86" s="604"/>
      <c r="J86" s="604"/>
      <c r="K86" s="604"/>
      <c r="L86" s="604"/>
      <c r="M86" s="604"/>
    </row>
    <row r="87" spans="1:13" ht="18.75" x14ac:dyDescent="0.3">
      <c r="A87" s="604"/>
      <c r="B87" s="604"/>
      <c r="C87" s="604"/>
      <c r="D87" s="604"/>
      <c r="E87" s="604"/>
      <c r="F87" s="604"/>
      <c r="G87" s="604"/>
      <c r="H87" s="604"/>
      <c r="I87" s="604"/>
      <c r="J87" s="604"/>
      <c r="K87" s="604"/>
      <c r="L87" s="604"/>
      <c r="M87" s="604"/>
    </row>
    <row r="88" spans="1:13" ht="18.75" x14ac:dyDescent="0.3">
      <c r="A88" s="604"/>
      <c r="B88" s="604"/>
      <c r="C88" s="604"/>
      <c r="D88" s="604"/>
      <c r="E88" s="604"/>
      <c r="F88" s="604"/>
      <c r="G88" s="604"/>
      <c r="H88" s="604"/>
      <c r="I88" s="604"/>
      <c r="J88" s="604"/>
      <c r="K88" s="604"/>
      <c r="L88" s="604"/>
      <c r="M88" s="604"/>
    </row>
    <row r="89" spans="1:13" ht="18.75" x14ac:dyDescent="0.3">
      <c r="A89" s="604"/>
      <c r="B89" s="604"/>
      <c r="C89" s="604"/>
      <c r="D89" s="604"/>
      <c r="E89" s="604"/>
      <c r="F89" s="604"/>
      <c r="G89" s="604"/>
      <c r="H89" s="604"/>
      <c r="I89" s="604"/>
      <c r="J89" s="604"/>
      <c r="K89" s="604"/>
      <c r="L89" s="604"/>
      <c r="M89" s="604"/>
    </row>
    <row r="90" spans="1:13" ht="18.75" x14ac:dyDescent="0.3">
      <c r="A90" s="604"/>
      <c r="B90" s="604"/>
      <c r="C90" s="604"/>
      <c r="D90" s="604"/>
      <c r="E90" s="604"/>
      <c r="F90" s="604"/>
      <c r="G90" s="604"/>
      <c r="H90" s="604"/>
      <c r="I90" s="604"/>
      <c r="J90" s="604"/>
      <c r="K90" s="604"/>
      <c r="L90" s="604"/>
      <c r="M90" s="604"/>
    </row>
    <row r="91" spans="1:13" ht="18.75" x14ac:dyDescent="0.3">
      <c r="A91" s="604"/>
      <c r="B91" s="604"/>
      <c r="C91" s="604"/>
      <c r="D91" s="604"/>
      <c r="E91" s="604"/>
      <c r="F91" s="604"/>
      <c r="G91" s="604"/>
      <c r="H91" s="604"/>
      <c r="I91" s="604"/>
      <c r="J91" s="604"/>
      <c r="K91" s="604"/>
      <c r="L91" s="604"/>
      <c r="M91" s="604"/>
    </row>
    <row r="92" spans="1:13" ht="18.75" x14ac:dyDescent="0.3">
      <c r="A92" s="604"/>
      <c r="B92" s="604"/>
      <c r="C92" s="604"/>
      <c r="D92" s="604"/>
      <c r="E92" s="604"/>
      <c r="F92" s="604"/>
      <c r="G92" s="604"/>
      <c r="H92" s="604"/>
      <c r="I92" s="604"/>
      <c r="J92" s="604"/>
      <c r="K92" s="604"/>
      <c r="L92" s="604"/>
      <c r="M92" s="604"/>
    </row>
    <row r="93" spans="1:13" ht="18.75" x14ac:dyDescent="0.3">
      <c r="A93" s="604"/>
      <c r="B93" s="604"/>
      <c r="C93" s="604"/>
      <c r="D93" s="604"/>
      <c r="E93" s="604"/>
      <c r="F93" s="604"/>
      <c r="G93" s="604"/>
      <c r="H93" s="604"/>
      <c r="I93" s="604"/>
      <c r="J93" s="604"/>
      <c r="K93" s="604"/>
      <c r="L93" s="604"/>
      <c r="M93" s="604"/>
    </row>
    <row r="94" spans="1:13" ht="18.75" x14ac:dyDescent="0.3">
      <c r="A94" s="604"/>
      <c r="B94" s="604"/>
      <c r="C94" s="604"/>
      <c r="D94" s="604"/>
      <c r="E94" s="604"/>
      <c r="F94" s="604"/>
      <c r="G94" s="604"/>
      <c r="H94" s="604"/>
      <c r="I94" s="604"/>
      <c r="J94" s="604"/>
      <c r="K94" s="604"/>
      <c r="L94" s="604"/>
      <c r="M94" s="604"/>
    </row>
    <row r="95" spans="1:13" ht="18.75" x14ac:dyDescent="0.3">
      <c r="A95" s="604"/>
      <c r="B95" s="604"/>
      <c r="C95" s="604"/>
      <c r="D95" s="604"/>
      <c r="E95" s="604"/>
      <c r="F95" s="604"/>
      <c r="G95" s="604"/>
      <c r="H95" s="604"/>
      <c r="I95" s="604"/>
      <c r="J95" s="604"/>
      <c r="K95" s="604"/>
      <c r="L95" s="604"/>
      <c r="M95" s="604"/>
    </row>
    <row r="96" spans="1:13" ht="18.75" x14ac:dyDescent="0.3">
      <c r="A96" s="604"/>
      <c r="B96" s="604"/>
      <c r="C96" s="604"/>
      <c r="D96" s="604"/>
      <c r="E96" s="604"/>
      <c r="F96" s="604"/>
      <c r="G96" s="604"/>
      <c r="H96" s="604"/>
      <c r="I96" s="604"/>
      <c r="J96" s="604"/>
      <c r="K96" s="604"/>
      <c r="L96" s="604"/>
      <c r="M96" s="604"/>
    </row>
    <row r="97" spans="1:13" ht="18.75" x14ac:dyDescent="0.3">
      <c r="A97" s="604"/>
      <c r="B97" s="604"/>
      <c r="C97" s="604"/>
      <c r="D97" s="604"/>
      <c r="E97" s="604"/>
      <c r="F97" s="604"/>
      <c r="G97" s="604"/>
      <c r="H97" s="604"/>
      <c r="I97" s="604"/>
      <c r="J97" s="604"/>
      <c r="K97" s="604"/>
      <c r="L97" s="604"/>
      <c r="M97" s="604"/>
    </row>
    <row r="98" spans="1:13" ht="18.75" x14ac:dyDescent="0.3">
      <c r="A98" s="604"/>
      <c r="B98" s="604"/>
      <c r="C98" s="604"/>
      <c r="D98" s="604"/>
      <c r="E98" s="604"/>
      <c r="F98" s="604"/>
      <c r="G98" s="604"/>
      <c r="H98" s="604"/>
      <c r="I98" s="604"/>
      <c r="J98" s="604"/>
      <c r="K98" s="604"/>
      <c r="L98" s="604"/>
      <c r="M98" s="604"/>
    </row>
    <row r="99" spans="1:13" ht="18.75" x14ac:dyDescent="0.3">
      <c r="A99" s="604"/>
      <c r="B99" s="604"/>
      <c r="C99" s="604"/>
      <c r="D99" s="604"/>
      <c r="E99" s="604"/>
      <c r="F99" s="604"/>
      <c r="G99" s="604"/>
      <c r="H99" s="604"/>
      <c r="I99" s="604"/>
      <c r="J99" s="604"/>
      <c r="K99" s="604"/>
      <c r="L99" s="604"/>
      <c r="M99" s="604"/>
    </row>
    <row r="100" spans="1:13" ht="18.75" x14ac:dyDescent="0.3">
      <c r="A100" s="604"/>
      <c r="B100" s="604"/>
      <c r="C100" s="604"/>
      <c r="D100" s="604"/>
      <c r="E100" s="604"/>
      <c r="F100" s="604"/>
      <c r="G100" s="604"/>
      <c r="H100" s="604"/>
      <c r="I100" s="604"/>
      <c r="J100" s="604"/>
      <c r="K100" s="604"/>
      <c r="L100" s="604"/>
      <c r="M100" s="604"/>
    </row>
    <row r="101" spans="1:13" ht="18.75" x14ac:dyDescent="0.3">
      <c r="A101" s="604"/>
      <c r="B101" s="604"/>
      <c r="C101" s="604"/>
      <c r="D101" s="604"/>
      <c r="E101" s="604"/>
      <c r="F101" s="604"/>
      <c r="G101" s="604"/>
      <c r="H101" s="604"/>
      <c r="I101" s="604"/>
      <c r="J101" s="604"/>
      <c r="K101" s="604"/>
      <c r="L101" s="604"/>
      <c r="M101" s="604"/>
    </row>
    <row r="102" spans="1:13" ht="18.75" x14ac:dyDescent="0.3">
      <c r="A102" s="604"/>
      <c r="B102" s="604"/>
      <c r="C102" s="604"/>
      <c r="D102" s="604"/>
      <c r="E102" s="604"/>
      <c r="F102" s="604"/>
      <c r="G102" s="604"/>
      <c r="H102" s="604"/>
      <c r="I102" s="604"/>
      <c r="J102" s="604"/>
      <c r="K102" s="604"/>
      <c r="L102" s="604"/>
      <c r="M102" s="604"/>
    </row>
    <row r="103" spans="1:13" ht="18.75" x14ac:dyDescent="0.3">
      <c r="A103" s="604"/>
      <c r="B103" s="604"/>
      <c r="C103" s="604"/>
      <c r="D103" s="604"/>
      <c r="E103" s="604"/>
      <c r="F103" s="604"/>
      <c r="G103" s="604"/>
      <c r="H103" s="604"/>
      <c r="I103" s="604"/>
      <c r="J103" s="604"/>
      <c r="K103" s="604"/>
      <c r="L103" s="604"/>
      <c r="M103" s="604"/>
    </row>
    <row r="104" spans="1:13" ht="18.75" x14ac:dyDescent="0.3">
      <c r="A104" s="604"/>
      <c r="B104" s="604"/>
      <c r="C104" s="604"/>
      <c r="D104" s="604"/>
      <c r="E104" s="604"/>
      <c r="F104" s="604"/>
      <c r="G104" s="604"/>
      <c r="H104" s="604"/>
      <c r="I104" s="604"/>
      <c r="J104" s="604"/>
      <c r="K104" s="604"/>
      <c r="L104" s="604"/>
      <c r="M104" s="604"/>
    </row>
    <row r="105" spans="1:13" ht="18.75" x14ac:dyDescent="0.3">
      <c r="A105" s="604"/>
      <c r="B105" s="604"/>
      <c r="C105" s="604"/>
      <c r="D105" s="604"/>
      <c r="E105" s="604"/>
      <c r="F105" s="604"/>
      <c r="G105" s="604"/>
      <c r="H105" s="604"/>
      <c r="I105" s="604"/>
      <c r="J105" s="604"/>
      <c r="K105" s="604"/>
      <c r="L105" s="604"/>
      <c r="M105" s="604"/>
    </row>
    <row r="106" spans="1:13" ht="18.75" x14ac:dyDescent="0.3">
      <c r="A106" s="604"/>
      <c r="B106" s="604"/>
      <c r="C106" s="604"/>
      <c r="D106" s="604"/>
      <c r="E106" s="604"/>
      <c r="F106" s="604"/>
      <c r="G106" s="604"/>
      <c r="H106" s="604"/>
      <c r="I106" s="604"/>
      <c r="J106" s="604"/>
      <c r="K106" s="604"/>
      <c r="L106" s="604"/>
      <c r="M106" s="604"/>
    </row>
    <row r="107" spans="1:13" ht="18.75" x14ac:dyDescent="0.3">
      <c r="A107" s="604"/>
      <c r="B107" s="604"/>
      <c r="C107" s="604"/>
      <c r="D107" s="604"/>
      <c r="E107" s="604"/>
      <c r="F107" s="604"/>
      <c r="G107" s="604"/>
      <c r="H107" s="604"/>
      <c r="I107" s="604"/>
      <c r="J107" s="604"/>
      <c r="K107" s="604"/>
      <c r="L107" s="604"/>
      <c r="M107" s="604"/>
    </row>
    <row r="108" spans="1:13" ht="18.75" x14ac:dyDescent="0.3">
      <c r="A108" s="604"/>
      <c r="B108" s="604"/>
      <c r="C108" s="604"/>
      <c r="D108" s="604"/>
      <c r="E108" s="604"/>
      <c r="F108" s="604"/>
      <c r="G108" s="604"/>
      <c r="H108" s="604"/>
      <c r="I108" s="604"/>
      <c r="J108" s="604"/>
      <c r="K108" s="604"/>
      <c r="L108" s="604"/>
      <c r="M108" s="604"/>
    </row>
    <row r="109" spans="1:13" ht="18.75" x14ac:dyDescent="0.3">
      <c r="A109" s="604"/>
      <c r="B109" s="604"/>
      <c r="C109" s="604"/>
      <c r="D109" s="604"/>
      <c r="E109" s="604"/>
      <c r="F109" s="604"/>
      <c r="G109" s="604"/>
      <c r="H109" s="604"/>
      <c r="I109" s="604"/>
      <c r="J109" s="604"/>
      <c r="K109" s="604"/>
      <c r="L109" s="604"/>
      <c r="M109" s="604"/>
    </row>
    <row r="110" spans="1:13" ht="18.75" x14ac:dyDescent="0.3">
      <c r="A110" s="604"/>
      <c r="B110" s="604"/>
      <c r="C110" s="604"/>
      <c r="D110" s="604"/>
      <c r="E110" s="604"/>
      <c r="F110" s="604"/>
      <c r="G110" s="604"/>
      <c r="H110" s="604"/>
      <c r="I110" s="604"/>
      <c r="J110" s="604"/>
      <c r="K110" s="604"/>
      <c r="L110" s="604"/>
      <c r="M110" s="604"/>
    </row>
    <row r="111" spans="1:13" ht="18.75" x14ac:dyDescent="0.3">
      <c r="A111" s="604"/>
      <c r="B111" s="604"/>
      <c r="C111" s="604"/>
      <c r="D111" s="604"/>
      <c r="E111" s="604"/>
      <c r="F111" s="604"/>
      <c r="G111" s="604"/>
      <c r="H111" s="604"/>
      <c r="I111" s="604"/>
      <c r="J111" s="604"/>
      <c r="K111" s="604"/>
      <c r="L111" s="604"/>
      <c r="M111" s="604"/>
    </row>
    <row r="112" spans="1:13" ht="18.75" x14ac:dyDescent="0.3">
      <c r="A112" s="604"/>
      <c r="B112" s="604"/>
      <c r="C112" s="604"/>
      <c r="D112" s="604"/>
      <c r="E112" s="604"/>
      <c r="F112" s="604"/>
      <c r="G112" s="604"/>
      <c r="H112" s="604"/>
      <c r="I112" s="604"/>
      <c r="J112" s="604"/>
      <c r="K112" s="604"/>
      <c r="L112" s="604"/>
      <c r="M112" s="604"/>
    </row>
    <row r="113" spans="1:13" ht="18.75" x14ac:dyDescent="0.3">
      <c r="A113" s="604"/>
      <c r="B113" s="604"/>
      <c r="C113" s="604"/>
      <c r="D113" s="604"/>
      <c r="E113" s="604"/>
      <c r="F113" s="604"/>
      <c r="G113" s="604"/>
      <c r="H113" s="604"/>
      <c r="I113" s="604"/>
      <c r="J113" s="604"/>
      <c r="K113" s="604"/>
      <c r="L113" s="604"/>
      <c r="M113" s="604"/>
    </row>
    <row r="114" spans="1:13" ht="18.75" x14ac:dyDescent="0.3">
      <c r="A114" s="604"/>
      <c r="B114" s="604"/>
      <c r="C114" s="604"/>
      <c r="D114" s="604"/>
      <c r="E114" s="604"/>
      <c r="F114" s="604"/>
      <c r="G114" s="604"/>
      <c r="H114" s="604"/>
      <c r="I114" s="604"/>
      <c r="J114" s="604"/>
      <c r="K114" s="604"/>
      <c r="L114" s="604"/>
      <c r="M114" s="604"/>
    </row>
    <row r="115" spans="1:13" ht="18.75" x14ac:dyDescent="0.3">
      <c r="A115" s="604"/>
      <c r="B115" s="604"/>
      <c r="C115" s="604"/>
      <c r="D115" s="604"/>
      <c r="E115" s="604"/>
      <c r="F115" s="604"/>
      <c r="G115" s="604"/>
      <c r="H115" s="604"/>
      <c r="I115" s="604"/>
      <c r="J115" s="604"/>
      <c r="K115" s="604"/>
      <c r="L115" s="604"/>
      <c r="M115" s="604"/>
    </row>
    <row r="116" spans="1:13" ht="18.75" x14ac:dyDescent="0.3">
      <c r="A116" s="604"/>
      <c r="B116" s="604"/>
      <c r="C116" s="604"/>
      <c r="D116" s="604"/>
      <c r="E116" s="604"/>
      <c r="F116" s="604"/>
      <c r="G116" s="604"/>
      <c r="H116" s="604"/>
      <c r="I116" s="604"/>
      <c r="J116" s="604"/>
      <c r="K116" s="604"/>
      <c r="L116" s="604"/>
      <c r="M116" s="604"/>
    </row>
    <row r="117" spans="1:13" ht="18.75" x14ac:dyDescent="0.3">
      <c r="A117" s="604"/>
      <c r="B117" s="604"/>
      <c r="C117" s="604"/>
      <c r="D117" s="604"/>
      <c r="E117" s="604"/>
      <c r="F117" s="604"/>
      <c r="G117" s="604"/>
      <c r="H117" s="604"/>
      <c r="I117" s="604"/>
      <c r="J117" s="604"/>
      <c r="K117" s="604"/>
      <c r="L117" s="604"/>
      <c r="M117" s="604"/>
    </row>
    <row r="118" spans="1:13" ht="18.75" x14ac:dyDescent="0.3">
      <c r="A118" s="604"/>
      <c r="B118" s="604"/>
      <c r="C118" s="604"/>
      <c r="D118" s="604"/>
      <c r="E118" s="604"/>
      <c r="F118" s="604"/>
      <c r="G118" s="604"/>
      <c r="H118" s="604"/>
      <c r="I118" s="604"/>
      <c r="J118" s="604"/>
      <c r="K118" s="604"/>
      <c r="L118" s="604"/>
      <c r="M118" s="604"/>
    </row>
    <row r="119" spans="1:13" ht="18.75" x14ac:dyDescent="0.3">
      <c r="A119" s="604"/>
      <c r="B119" s="604"/>
      <c r="C119" s="604"/>
      <c r="D119" s="604"/>
      <c r="E119" s="604"/>
      <c r="F119" s="604"/>
      <c r="G119" s="604"/>
      <c r="H119" s="604"/>
      <c r="I119" s="604"/>
      <c r="J119" s="604"/>
      <c r="K119" s="604"/>
      <c r="L119" s="604"/>
      <c r="M119" s="604"/>
    </row>
    <row r="120" spans="1:13" ht="18.75" x14ac:dyDescent="0.3">
      <c r="A120" s="604"/>
      <c r="B120" s="604"/>
      <c r="C120" s="604"/>
      <c r="D120" s="604"/>
      <c r="E120" s="604"/>
      <c r="F120" s="604"/>
      <c r="G120" s="604"/>
      <c r="H120" s="604"/>
      <c r="I120" s="604"/>
      <c r="J120" s="604"/>
      <c r="K120" s="604"/>
      <c r="L120" s="604"/>
      <c r="M120" s="604"/>
    </row>
    <row r="121" spans="1:13" ht="18.75" x14ac:dyDescent="0.3">
      <c r="A121" s="604"/>
      <c r="B121" s="604"/>
      <c r="C121" s="604"/>
      <c r="D121" s="604"/>
      <c r="E121" s="604"/>
      <c r="F121" s="604"/>
      <c r="G121" s="604"/>
      <c r="H121" s="604"/>
      <c r="I121" s="604"/>
      <c r="J121" s="604"/>
      <c r="K121" s="604"/>
      <c r="L121" s="604"/>
      <c r="M121" s="604"/>
    </row>
    <row r="122" spans="1:13" ht="18.75" x14ac:dyDescent="0.3">
      <c r="A122" s="604"/>
      <c r="B122" s="604"/>
      <c r="C122" s="604"/>
      <c r="D122" s="604"/>
      <c r="E122" s="604"/>
      <c r="F122" s="604"/>
      <c r="G122" s="604"/>
      <c r="H122" s="604"/>
      <c r="I122" s="604"/>
      <c r="J122" s="604"/>
      <c r="K122" s="604"/>
      <c r="L122" s="604"/>
      <c r="M122" s="604"/>
    </row>
    <row r="123" spans="1:13" ht="18.75" x14ac:dyDescent="0.3">
      <c r="A123" s="604"/>
      <c r="B123" s="604"/>
      <c r="C123" s="604"/>
      <c r="D123" s="604"/>
      <c r="E123" s="604"/>
      <c r="F123" s="604"/>
      <c r="G123" s="604"/>
      <c r="H123" s="604"/>
      <c r="I123" s="604"/>
      <c r="J123" s="604"/>
      <c r="K123" s="604"/>
      <c r="L123" s="604"/>
      <c r="M123" s="604"/>
    </row>
    <row r="124" spans="1:13" ht="18.75" x14ac:dyDescent="0.3">
      <c r="A124" s="604"/>
      <c r="B124" s="604"/>
      <c r="C124" s="604"/>
      <c r="D124" s="604"/>
      <c r="E124" s="604"/>
      <c r="F124" s="604"/>
      <c r="G124" s="604"/>
      <c r="H124" s="604"/>
      <c r="I124" s="604"/>
      <c r="J124" s="604"/>
      <c r="K124" s="604"/>
      <c r="L124" s="604"/>
      <c r="M124" s="604"/>
    </row>
    <row r="125" spans="1:13" ht="18.75" x14ac:dyDescent="0.3">
      <c r="A125" s="604"/>
      <c r="B125" s="604"/>
      <c r="C125" s="604"/>
      <c r="D125" s="604"/>
      <c r="E125" s="604"/>
      <c r="F125" s="604"/>
      <c r="G125" s="604"/>
      <c r="H125" s="604"/>
      <c r="I125" s="604"/>
      <c r="J125" s="604"/>
      <c r="K125" s="604"/>
      <c r="L125" s="604"/>
      <c r="M125" s="604"/>
    </row>
    <row r="126" spans="1:13" ht="18.75" x14ac:dyDescent="0.3">
      <c r="A126" s="604"/>
      <c r="B126" s="604"/>
      <c r="C126" s="604"/>
      <c r="D126" s="604"/>
      <c r="E126" s="604"/>
      <c r="F126" s="604"/>
      <c r="G126" s="604"/>
      <c r="H126" s="604"/>
      <c r="I126" s="604"/>
      <c r="J126" s="604"/>
      <c r="K126" s="604"/>
      <c r="L126" s="604"/>
      <c r="M126" s="604"/>
    </row>
    <row r="127" spans="1:13" ht="18.75" x14ac:dyDescent="0.3">
      <c r="A127" s="604"/>
      <c r="B127" s="604"/>
      <c r="C127" s="604"/>
      <c r="D127" s="604"/>
      <c r="E127" s="604"/>
      <c r="F127" s="604"/>
      <c r="G127" s="604"/>
      <c r="H127" s="604"/>
      <c r="I127" s="604"/>
      <c r="J127" s="604"/>
      <c r="K127" s="604"/>
      <c r="L127" s="604"/>
      <c r="M127" s="604"/>
    </row>
    <row r="128" spans="1:13" ht="18.75" x14ac:dyDescent="0.3">
      <c r="A128" s="604"/>
      <c r="B128" s="604"/>
      <c r="C128" s="604"/>
      <c r="D128" s="604"/>
      <c r="E128" s="604"/>
      <c r="F128" s="604"/>
      <c r="G128" s="604"/>
      <c r="H128" s="604"/>
      <c r="I128" s="604"/>
      <c r="J128" s="604"/>
      <c r="K128" s="604"/>
      <c r="L128" s="604"/>
      <c r="M128" s="604"/>
    </row>
    <row r="129" spans="1:13" ht="18.75" x14ac:dyDescent="0.3">
      <c r="A129" s="604"/>
      <c r="B129" s="604"/>
      <c r="C129" s="604"/>
      <c r="D129" s="604"/>
      <c r="E129" s="604"/>
      <c r="F129" s="604"/>
      <c r="G129" s="604"/>
      <c r="H129" s="604"/>
      <c r="I129" s="604"/>
      <c r="J129" s="604"/>
      <c r="K129" s="604"/>
      <c r="L129" s="604"/>
      <c r="M129" s="604"/>
    </row>
    <row r="130" spans="1:13" ht="18.75" x14ac:dyDescent="0.3">
      <c r="A130" s="604"/>
      <c r="B130" s="604"/>
      <c r="C130" s="604"/>
      <c r="D130" s="604"/>
      <c r="E130" s="604"/>
      <c r="F130" s="604"/>
      <c r="G130" s="604"/>
      <c r="H130" s="604"/>
      <c r="I130" s="604"/>
      <c r="J130" s="604"/>
      <c r="K130" s="604"/>
      <c r="L130" s="604"/>
      <c r="M130" s="604"/>
    </row>
    <row r="131" spans="1:13" ht="18.75" x14ac:dyDescent="0.3">
      <c r="A131" s="604"/>
      <c r="B131" s="604"/>
      <c r="C131" s="604"/>
      <c r="D131" s="604"/>
      <c r="E131" s="604"/>
      <c r="F131" s="604"/>
      <c r="G131" s="604"/>
      <c r="H131" s="604"/>
      <c r="I131" s="604"/>
      <c r="J131" s="604"/>
      <c r="K131" s="604"/>
      <c r="L131" s="604"/>
      <c r="M131" s="604"/>
    </row>
    <row r="132" spans="1:13" ht="18.75" x14ac:dyDescent="0.3">
      <c r="A132" s="604"/>
      <c r="B132" s="604"/>
      <c r="C132" s="604"/>
      <c r="D132" s="604"/>
      <c r="E132" s="604"/>
      <c r="F132" s="604"/>
      <c r="G132" s="604"/>
      <c r="H132" s="604"/>
      <c r="I132" s="604"/>
      <c r="J132" s="604"/>
      <c r="K132" s="604"/>
      <c r="L132" s="604"/>
      <c r="M132" s="604"/>
    </row>
    <row r="133" spans="1:13" ht="18.75" x14ac:dyDescent="0.3">
      <c r="A133" s="604"/>
      <c r="B133" s="604"/>
      <c r="C133" s="604"/>
      <c r="D133" s="604"/>
      <c r="E133" s="604"/>
      <c r="F133" s="604"/>
      <c r="G133" s="604"/>
      <c r="H133" s="604"/>
      <c r="I133" s="604"/>
      <c r="J133" s="604"/>
      <c r="K133" s="604"/>
      <c r="L133" s="604"/>
      <c r="M133" s="604"/>
    </row>
    <row r="134" spans="1:13" ht="18.75" x14ac:dyDescent="0.3">
      <c r="A134" s="604"/>
      <c r="B134" s="604"/>
      <c r="C134" s="604"/>
      <c r="D134" s="604"/>
      <c r="E134" s="604"/>
      <c r="F134" s="604"/>
      <c r="G134" s="604"/>
      <c r="H134" s="604"/>
      <c r="I134" s="604"/>
      <c r="J134" s="604"/>
      <c r="K134" s="604"/>
      <c r="L134" s="604"/>
      <c r="M134" s="604"/>
    </row>
    <row r="135" spans="1:13" ht="18.75" x14ac:dyDescent="0.3">
      <c r="A135" s="604"/>
      <c r="B135" s="604"/>
      <c r="C135" s="604"/>
      <c r="D135" s="604"/>
      <c r="E135" s="604"/>
      <c r="F135" s="604"/>
      <c r="G135" s="604"/>
      <c r="H135" s="604"/>
      <c r="I135" s="604"/>
      <c r="J135" s="604"/>
      <c r="K135" s="604"/>
      <c r="L135" s="604"/>
      <c r="M135" s="604"/>
    </row>
    <row r="136" spans="1:13" ht="18.75" x14ac:dyDescent="0.3">
      <c r="A136" s="604"/>
      <c r="B136" s="604"/>
      <c r="C136" s="604"/>
      <c r="D136" s="604"/>
      <c r="E136" s="604"/>
      <c r="F136" s="604"/>
      <c r="G136" s="604"/>
      <c r="H136" s="604"/>
      <c r="I136" s="604"/>
      <c r="J136" s="604"/>
      <c r="K136" s="604"/>
      <c r="L136" s="604"/>
      <c r="M136" s="604"/>
    </row>
    <row r="137" spans="1:13" ht="18.75" x14ac:dyDescent="0.3">
      <c r="A137" s="604"/>
      <c r="B137" s="604"/>
      <c r="C137" s="604"/>
      <c r="D137" s="604"/>
      <c r="E137" s="604"/>
      <c r="F137" s="604"/>
      <c r="G137" s="604"/>
      <c r="H137" s="604"/>
      <c r="I137" s="604"/>
      <c r="J137" s="604"/>
      <c r="K137" s="604"/>
      <c r="L137" s="604"/>
      <c r="M137" s="604"/>
    </row>
    <row r="138" spans="1:13" ht="18.75" x14ac:dyDescent="0.3">
      <c r="A138" s="604"/>
      <c r="B138" s="604"/>
      <c r="C138" s="604"/>
      <c r="D138" s="604"/>
      <c r="E138" s="604"/>
      <c r="F138" s="604"/>
      <c r="G138" s="604"/>
      <c r="H138" s="604"/>
      <c r="I138" s="604"/>
      <c r="J138" s="604"/>
      <c r="K138" s="604"/>
      <c r="L138" s="604"/>
      <c r="M138" s="604"/>
    </row>
    <row r="139" spans="1:13" ht="18.75" x14ac:dyDescent="0.3">
      <c r="A139" s="604"/>
      <c r="B139" s="604"/>
      <c r="C139" s="604"/>
      <c r="D139" s="604"/>
      <c r="E139" s="604"/>
      <c r="F139" s="604"/>
      <c r="G139" s="604"/>
      <c r="H139" s="604"/>
      <c r="I139" s="604"/>
      <c r="J139" s="604"/>
      <c r="K139" s="604"/>
      <c r="L139" s="604"/>
      <c r="M139" s="604"/>
    </row>
    <row r="140" spans="1:13" ht="18.75" x14ac:dyDescent="0.3">
      <c r="A140" s="604"/>
      <c r="B140" s="604"/>
      <c r="C140" s="604"/>
      <c r="D140" s="604"/>
      <c r="E140" s="604"/>
      <c r="F140" s="604"/>
      <c r="G140" s="604"/>
      <c r="H140" s="604"/>
      <c r="I140" s="604"/>
      <c r="J140" s="604"/>
      <c r="K140" s="604"/>
      <c r="L140" s="604"/>
      <c r="M140" s="604"/>
    </row>
    <row r="141" spans="1:13" ht="18.75" x14ac:dyDescent="0.3">
      <c r="A141" s="604"/>
      <c r="B141" s="604"/>
      <c r="C141" s="604"/>
      <c r="D141" s="604"/>
      <c r="E141" s="604"/>
      <c r="F141" s="604"/>
      <c r="G141" s="604"/>
      <c r="H141" s="604"/>
      <c r="I141" s="604"/>
      <c r="J141" s="604"/>
      <c r="K141" s="604"/>
      <c r="L141" s="604"/>
      <c r="M141" s="604"/>
    </row>
    <row r="142" spans="1:13" ht="18.75" x14ac:dyDescent="0.3">
      <c r="A142" s="604"/>
      <c r="B142" s="604"/>
      <c r="C142" s="604"/>
      <c r="D142" s="604"/>
      <c r="E142" s="604"/>
      <c r="F142" s="604"/>
      <c r="G142" s="604"/>
      <c r="H142" s="604"/>
      <c r="I142" s="604"/>
      <c r="J142" s="604"/>
      <c r="K142" s="604"/>
      <c r="L142" s="604"/>
      <c r="M142" s="604"/>
    </row>
    <row r="143" spans="1:13" ht="18.75" x14ac:dyDescent="0.3">
      <c r="A143" s="604"/>
      <c r="B143" s="604"/>
      <c r="C143" s="604"/>
      <c r="D143" s="604"/>
      <c r="E143" s="604"/>
      <c r="F143" s="604"/>
      <c r="G143" s="604"/>
      <c r="H143" s="604"/>
      <c r="I143" s="604"/>
      <c r="J143" s="604"/>
      <c r="K143" s="604"/>
      <c r="L143" s="604"/>
      <c r="M143" s="604"/>
    </row>
    <row r="144" spans="1:13" ht="18.75" x14ac:dyDescent="0.3">
      <c r="A144" s="604"/>
      <c r="B144" s="604"/>
      <c r="C144" s="604"/>
      <c r="D144" s="604"/>
      <c r="E144" s="604"/>
      <c r="F144" s="604"/>
      <c r="G144" s="604"/>
      <c r="H144" s="604"/>
      <c r="I144" s="604"/>
      <c r="J144" s="604"/>
      <c r="K144" s="604"/>
      <c r="L144" s="604"/>
      <c r="M144" s="604"/>
    </row>
    <row r="145" spans="1:13" ht="18.75" x14ac:dyDescent="0.3">
      <c r="A145" s="604"/>
      <c r="B145" s="604"/>
      <c r="C145" s="604"/>
      <c r="D145" s="604"/>
      <c r="E145" s="604"/>
      <c r="F145" s="604"/>
      <c r="G145" s="604"/>
      <c r="H145" s="604"/>
      <c r="I145" s="604"/>
      <c r="J145" s="604"/>
      <c r="K145" s="604"/>
      <c r="L145" s="604"/>
      <c r="M145" s="604"/>
    </row>
    <row r="146" spans="1:13" ht="18.75" x14ac:dyDescent="0.3">
      <c r="A146" s="604"/>
      <c r="B146" s="604"/>
      <c r="C146" s="604"/>
      <c r="D146" s="604"/>
      <c r="E146" s="604"/>
      <c r="F146" s="604"/>
      <c r="G146" s="604"/>
      <c r="H146" s="604"/>
      <c r="I146" s="604"/>
      <c r="J146" s="604"/>
      <c r="K146" s="604"/>
      <c r="L146" s="604"/>
      <c r="M146" s="604"/>
    </row>
    <row r="147" spans="1:13" ht="18.75" x14ac:dyDescent="0.3">
      <c r="A147" s="604"/>
      <c r="B147" s="604"/>
      <c r="C147" s="604"/>
      <c r="D147" s="604"/>
      <c r="E147" s="604"/>
      <c r="F147" s="604"/>
      <c r="G147" s="604"/>
      <c r="H147" s="604"/>
      <c r="I147" s="604"/>
      <c r="J147" s="604"/>
      <c r="K147" s="604"/>
      <c r="L147" s="604"/>
      <c r="M147" s="604"/>
    </row>
    <row r="148" spans="1:13" ht="18.75" x14ac:dyDescent="0.3">
      <c r="A148" s="604"/>
      <c r="B148" s="604"/>
      <c r="C148" s="604"/>
      <c r="D148" s="604"/>
      <c r="E148" s="604"/>
      <c r="F148" s="604"/>
      <c r="G148" s="604"/>
      <c r="H148" s="604"/>
      <c r="I148" s="604"/>
      <c r="J148" s="604"/>
      <c r="K148" s="604"/>
      <c r="L148" s="604"/>
      <c r="M148" s="604"/>
    </row>
    <row r="149" spans="1:13" ht="18.75" x14ac:dyDescent="0.3">
      <c r="A149" s="604"/>
      <c r="B149" s="604"/>
      <c r="C149" s="604"/>
      <c r="D149" s="604"/>
      <c r="E149" s="604"/>
      <c r="F149" s="604"/>
      <c r="G149" s="604"/>
      <c r="H149" s="604"/>
      <c r="I149" s="604"/>
      <c r="J149" s="604"/>
      <c r="K149" s="604"/>
      <c r="L149" s="604"/>
      <c r="M149" s="604"/>
    </row>
    <row r="150" spans="1:13" ht="18.75" x14ac:dyDescent="0.3">
      <c r="A150" s="604"/>
      <c r="B150" s="604"/>
      <c r="C150" s="604"/>
      <c r="D150" s="604"/>
      <c r="E150" s="604"/>
      <c r="F150" s="604"/>
      <c r="G150" s="604"/>
      <c r="H150" s="604"/>
      <c r="I150" s="604"/>
      <c r="J150" s="604"/>
      <c r="K150" s="604"/>
      <c r="L150" s="604"/>
      <c r="M150" s="604"/>
    </row>
    <row r="151" spans="1:13" ht="18.75" x14ac:dyDescent="0.3">
      <c r="A151" s="604"/>
      <c r="B151" s="604"/>
      <c r="C151" s="604"/>
      <c r="D151" s="604"/>
      <c r="E151" s="604"/>
      <c r="F151" s="604"/>
      <c r="G151" s="604"/>
      <c r="H151" s="604"/>
      <c r="I151" s="604"/>
      <c r="J151" s="604"/>
      <c r="K151" s="604"/>
      <c r="L151" s="604"/>
      <c r="M151" s="604"/>
    </row>
    <row r="152" spans="1:13" ht="18.75" x14ac:dyDescent="0.3">
      <c r="A152" s="604"/>
      <c r="B152" s="604"/>
      <c r="C152" s="604"/>
      <c r="D152" s="604"/>
      <c r="E152" s="604"/>
      <c r="F152" s="604"/>
      <c r="G152" s="604"/>
      <c r="H152" s="604"/>
      <c r="I152" s="604"/>
      <c r="J152" s="604"/>
      <c r="K152" s="604"/>
      <c r="L152" s="604"/>
      <c r="M152" s="604"/>
    </row>
    <row r="153" spans="1:13" ht="18.75" x14ac:dyDescent="0.3">
      <c r="A153" s="604"/>
      <c r="B153" s="604"/>
      <c r="C153" s="604"/>
      <c r="D153" s="604"/>
      <c r="E153" s="604"/>
      <c r="F153" s="604"/>
      <c r="G153" s="604"/>
      <c r="H153" s="604"/>
      <c r="I153" s="604"/>
      <c r="J153" s="604"/>
      <c r="K153" s="604"/>
      <c r="L153" s="604"/>
      <c r="M153" s="604"/>
    </row>
    <row r="154" spans="1:13" ht="18.75" x14ac:dyDescent="0.3">
      <c r="A154" s="604"/>
      <c r="B154" s="604"/>
      <c r="C154" s="604"/>
      <c r="D154" s="604"/>
      <c r="E154" s="604"/>
      <c r="F154" s="604"/>
      <c r="G154" s="604"/>
      <c r="H154" s="604"/>
      <c r="I154" s="604"/>
      <c r="J154" s="604"/>
      <c r="K154" s="604"/>
      <c r="L154" s="604"/>
      <c r="M154" s="604"/>
    </row>
    <row r="155" spans="1:13" ht="18.75" x14ac:dyDescent="0.3">
      <c r="A155" s="604"/>
      <c r="B155" s="604"/>
      <c r="C155" s="604"/>
      <c r="D155" s="604"/>
      <c r="E155" s="604"/>
      <c r="F155" s="604"/>
      <c r="G155" s="604"/>
      <c r="H155" s="604"/>
      <c r="I155" s="604"/>
      <c r="J155" s="604"/>
      <c r="K155" s="604"/>
      <c r="L155" s="604"/>
      <c r="M155" s="604"/>
    </row>
    <row r="156" spans="1:13" ht="18.75" x14ac:dyDescent="0.3">
      <c r="A156" s="604"/>
      <c r="B156" s="604"/>
      <c r="C156" s="604"/>
      <c r="D156" s="604"/>
      <c r="E156" s="604"/>
      <c r="F156" s="604"/>
      <c r="G156" s="604"/>
      <c r="H156" s="604"/>
      <c r="I156" s="604"/>
      <c r="J156" s="604"/>
      <c r="K156" s="604"/>
      <c r="L156" s="604"/>
      <c r="M156" s="604"/>
    </row>
    <row r="157" spans="1:13" ht="18.75" x14ac:dyDescent="0.3">
      <c r="A157" s="604"/>
      <c r="B157" s="604"/>
      <c r="C157" s="604"/>
      <c r="D157" s="604"/>
      <c r="E157" s="604"/>
      <c r="F157" s="604"/>
      <c r="G157" s="604"/>
      <c r="H157" s="604"/>
      <c r="I157" s="604"/>
      <c r="J157" s="604"/>
      <c r="K157" s="604"/>
      <c r="L157" s="604"/>
      <c r="M157" s="604"/>
    </row>
    <row r="158" spans="1:13" ht="18.75" x14ac:dyDescent="0.3">
      <c r="A158" s="604"/>
      <c r="B158" s="604"/>
      <c r="C158" s="604"/>
      <c r="D158" s="604"/>
      <c r="E158" s="604"/>
      <c r="F158" s="604"/>
      <c r="G158" s="604"/>
      <c r="H158" s="604"/>
      <c r="I158" s="604"/>
      <c r="J158" s="604"/>
      <c r="K158" s="604"/>
      <c r="L158" s="604"/>
      <c r="M158" s="604"/>
    </row>
    <row r="159" spans="1:13" ht="18.75" x14ac:dyDescent="0.3">
      <c r="A159" s="604"/>
      <c r="B159" s="604"/>
      <c r="C159" s="604"/>
      <c r="D159" s="604"/>
      <c r="E159" s="604"/>
      <c r="F159" s="604"/>
      <c r="G159" s="604"/>
      <c r="H159" s="604"/>
      <c r="I159" s="604"/>
      <c r="J159" s="604"/>
      <c r="K159" s="604"/>
      <c r="L159" s="604"/>
      <c r="M159" s="604"/>
    </row>
    <row r="160" spans="1:13" ht="18.75" x14ac:dyDescent="0.3">
      <c r="A160" s="604"/>
      <c r="B160" s="604"/>
      <c r="C160" s="604"/>
      <c r="D160" s="604"/>
      <c r="E160" s="604"/>
      <c r="F160" s="604"/>
      <c r="G160" s="604"/>
      <c r="H160" s="604"/>
      <c r="I160" s="604"/>
      <c r="J160" s="604"/>
      <c r="K160" s="604"/>
      <c r="L160" s="604"/>
      <c r="M160" s="604"/>
    </row>
    <row r="161" spans="1:13" ht="18.75" x14ac:dyDescent="0.3">
      <c r="A161" s="604"/>
      <c r="B161" s="604"/>
      <c r="C161" s="604"/>
      <c r="D161" s="604"/>
      <c r="E161" s="604"/>
      <c r="F161" s="604"/>
      <c r="G161" s="604"/>
      <c r="H161" s="604"/>
      <c r="I161" s="604"/>
      <c r="J161" s="604"/>
      <c r="K161" s="604"/>
      <c r="L161" s="604"/>
      <c r="M161" s="604"/>
    </row>
    <row r="162" spans="1:13" ht="18.75" x14ac:dyDescent="0.3">
      <c r="A162" s="604"/>
      <c r="B162" s="604"/>
      <c r="C162" s="604"/>
      <c r="D162" s="604"/>
      <c r="E162" s="604"/>
      <c r="F162" s="604"/>
      <c r="G162" s="604"/>
      <c r="H162" s="604"/>
      <c r="I162" s="604"/>
      <c r="J162" s="604"/>
      <c r="K162" s="604"/>
      <c r="L162" s="604"/>
      <c r="M162" s="604"/>
    </row>
    <row r="163" spans="1:13" ht="18.75" x14ac:dyDescent="0.3">
      <c r="A163" s="604"/>
      <c r="B163" s="604"/>
      <c r="C163" s="604"/>
      <c r="D163" s="604"/>
      <c r="E163" s="604"/>
      <c r="F163" s="604"/>
      <c r="G163" s="604"/>
      <c r="H163" s="604"/>
      <c r="I163" s="604"/>
      <c r="J163" s="604"/>
      <c r="K163" s="604"/>
      <c r="L163" s="604"/>
      <c r="M163" s="604"/>
    </row>
    <row r="164" spans="1:13" ht="18.75" x14ac:dyDescent="0.3">
      <c r="A164" s="604"/>
      <c r="B164" s="604"/>
      <c r="C164" s="604"/>
      <c r="D164" s="604"/>
      <c r="E164" s="604"/>
      <c r="F164" s="604"/>
      <c r="G164" s="604"/>
      <c r="H164" s="604"/>
      <c r="I164" s="604"/>
      <c r="J164" s="604"/>
      <c r="K164" s="604"/>
      <c r="L164" s="604"/>
      <c r="M164" s="604"/>
    </row>
    <row r="165" spans="1:13" ht="18.75" x14ac:dyDescent="0.3">
      <c r="A165" s="604"/>
      <c r="B165" s="604"/>
      <c r="C165" s="604"/>
      <c r="D165" s="604"/>
      <c r="E165" s="604"/>
      <c r="F165" s="604"/>
      <c r="G165" s="604"/>
      <c r="H165" s="604"/>
      <c r="I165" s="604"/>
      <c r="J165" s="604"/>
      <c r="K165" s="604"/>
      <c r="L165" s="604"/>
      <c r="M165" s="604"/>
    </row>
    <row r="166" spans="1:13" ht="18.75" x14ac:dyDescent="0.3">
      <c r="A166" s="604"/>
      <c r="B166" s="604"/>
      <c r="C166" s="604"/>
      <c r="D166" s="604"/>
      <c r="E166" s="604"/>
      <c r="F166" s="604"/>
      <c r="G166" s="604"/>
      <c r="H166" s="604"/>
      <c r="I166" s="604"/>
      <c r="J166" s="604"/>
      <c r="K166" s="604"/>
      <c r="L166" s="604"/>
      <c r="M166" s="604"/>
    </row>
    <row r="167" spans="1:13" ht="18.75" x14ac:dyDescent="0.3">
      <c r="A167" s="604"/>
      <c r="B167" s="604"/>
      <c r="C167" s="604"/>
      <c r="D167" s="604"/>
      <c r="E167" s="604"/>
      <c r="F167" s="604"/>
      <c r="G167" s="604"/>
      <c r="H167" s="604"/>
      <c r="I167" s="604"/>
      <c r="J167" s="604"/>
      <c r="K167" s="604"/>
      <c r="L167" s="604"/>
      <c r="M167" s="604"/>
    </row>
    <row r="168" spans="1:13" ht="18.75" x14ac:dyDescent="0.3">
      <c r="A168" s="604"/>
      <c r="B168" s="604"/>
      <c r="C168" s="604"/>
      <c r="D168" s="604"/>
      <c r="E168" s="604"/>
      <c r="F168" s="604"/>
      <c r="G168" s="604"/>
      <c r="H168" s="604"/>
      <c r="I168" s="604"/>
      <c r="J168" s="604"/>
      <c r="K168" s="604"/>
      <c r="L168" s="604"/>
      <c r="M168" s="604"/>
    </row>
    <row r="169" spans="1:13" ht="18.75" x14ac:dyDescent="0.3">
      <c r="A169" s="604"/>
      <c r="B169" s="604"/>
      <c r="C169" s="604"/>
      <c r="D169" s="604"/>
      <c r="E169" s="604"/>
      <c r="F169" s="604"/>
      <c r="G169" s="604"/>
      <c r="H169" s="604"/>
      <c r="I169" s="604"/>
      <c r="J169" s="604"/>
      <c r="K169" s="604"/>
      <c r="L169" s="604"/>
      <c r="M169" s="604"/>
    </row>
    <row r="170" spans="1:13" ht="18.75" x14ac:dyDescent="0.3">
      <c r="A170" s="604"/>
      <c r="B170" s="604"/>
      <c r="C170" s="604"/>
      <c r="D170" s="604"/>
      <c r="E170" s="604"/>
      <c r="F170" s="604"/>
      <c r="G170" s="604"/>
      <c r="H170" s="604"/>
      <c r="I170" s="604"/>
      <c r="J170" s="604"/>
      <c r="K170" s="604"/>
      <c r="L170" s="604"/>
      <c r="M170" s="604"/>
    </row>
    <row r="171" spans="1:13" ht="18.75" x14ac:dyDescent="0.3">
      <c r="A171" s="604"/>
      <c r="B171" s="604"/>
      <c r="C171" s="604"/>
      <c r="D171" s="604"/>
      <c r="E171" s="604"/>
      <c r="F171" s="604"/>
      <c r="G171" s="604"/>
      <c r="H171" s="604"/>
      <c r="I171" s="604"/>
      <c r="J171" s="604"/>
      <c r="K171" s="604"/>
      <c r="L171" s="604"/>
      <c r="M171" s="604"/>
    </row>
    <row r="172" spans="1:13" ht="18.75" x14ac:dyDescent="0.3">
      <c r="A172" s="604"/>
      <c r="B172" s="604"/>
      <c r="C172" s="604"/>
      <c r="D172" s="604"/>
      <c r="E172" s="604"/>
      <c r="F172" s="604"/>
      <c r="G172" s="604"/>
      <c r="H172" s="604"/>
      <c r="I172" s="604"/>
      <c r="J172" s="604"/>
      <c r="K172" s="604"/>
      <c r="L172" s="604"/>
      <c r="M172" s="604"/>
    </row>
    <row r="173" spans="1:13" ht="18.75" x14ac:dyDescent="0.3">
      <c r="A173" s="604"/>
      <c r="B173" s="604"/>
      <c r="C173" s="604"/>
      <c r="D173" s="604"/>
      <c r="E173" s="604"/>
      <c r="F173" s="604"/>
      <c r="G173" s="604"/>
      <c r="H173" s="604"/>
      <c r="I173" s="604"/>
      <c r="J173" s="604"/>
      <c r="K173" s="604"/>
      <c r="L173" s="604"/>
      <c r="M173" s="604"/>
    </row>
    <row r="174" spans="1:13" ht="18.75" x14ac:dyDescent="0.3">
      <c r="A174" s="604"/>
      <c r="B174" s="604"/>
      <c r="C174" s="604"/>
      <c r="D174" s="604"/>
      <c r="E174" s="604"/>
      <c r="F174" s="604"/>
      <c r="G174" s="604"/>
      <c r="H174" s="604"/>
      <c r="I174" s="604"/>
      <c r="J174" s="604"/>
      <c r="K174" s="604"/>
      <c r="L174" s="604"/>
      <c r="M174" s="604"/>
    </row>
    <row r="175" spans="1:13" ht="18.75" x14ac:dyDescent="0.3">
      <c r="A175" s="604"/>
      <c r="B175" s="604"/>
      <c r="C175" s="604"/>
      <c r="D175" s="604"/>
      <c r="E175" s="604"/>
      <c r="F175" s="604"/>
      <c r="G175" s="604"/>
      <c r="H175" s="604"/>
      <c r="I175" s="604"/>
      <c r="J175" s="604"/>
      <c r="K175" s="604"/>
      <c r="L175" s="604"/>
      <c r="M175" s="604"/>
    </row>
    <row r="176" spans="1:13" ht="18.75" x14ac:dyDescent="0.3">
      <c r="A176" s="604"/>
      <c r="B176" s="604"/>
      <c r="C176" s="604"/>
      <c r="D176" s="604"/>
      <c r="E176" s="604"/>
      <c r="F176" s="604"/>
      <c r="G176" s="604"/>
      <c r="H176" s="604"/>
      <c r="I176" s="604"/>
      <c r="J176" s="604"/>
      <c r="K176" s="604"/>
      <c r="L176" s="604"/>
      <c r="M176" s="604"/>
    </row>
    <row r="177" spans="1:13" ht="18.75" x14ac:dyDescent="0.3">
      <c r="A177" s="604"/>
      <c r="B177" s="604"/>
      <c r="C177" s="604"/>
      <c r="D177" s="604"/>
      <c r="E177" s="604"/>
      <c r="F177" s="604"/>
      <c r="G177" s="604"/>
      <c r="H177" s="604"/>
      <c r="I177" s="604"/>
      <c r="J177" s="604"/>
      <c r="K177" s="604"/>
      <c r="L177" s="604"/>
      <c r="M177" s="604"/>
    </row>
    <row r="178" spans="1:13" ht="18.75" x14ac:dyDescent="0.3">
      <c r="A178" s="604"/>
      <c r="B178" s="604"/>
      <c r="C178" s="604"/>
      <c r="D178" s="604"/>
      <c r="E178" s="604"/>
      <c r="F178" s="604"/>
      <c r="G178" s="604"/>
      <c r="H178" s="604"/>
      <c r="I178" s="604"/>
      <c r="J178" s="604"/>
      <c r="K178" s="604"/>
      <c r="L178" s="604"/>
      <c r="M178" s="604"/>
    </row>
    <row r="179" spans="1:13" ht="18.75" x14ac:dyDescent="0.3">
      <c r="A179" s="604"/>
      <c r="B179" s="604"/>
      <c r="C179" s="604"/>
      <c r="D179" s="604"/>
      <c r="E179" s="604"/>
      <c r="F179" s="604"/>
      <c r="G179" s="604"/>
      <c r="H179" s="604"/>
      <c r="I179" s="604"/>
      <c r="J179" s="604"/>
      <c r="K179" s="604"/>
      <c r="L179" s="604"/>
      <c r="M179" s="604"/>
    </row>
    <row r="180" spans="1:13" ht="18.75" x14ac:dyDescent="0.3">
      <c r="A180" s="604"/>
      <c r="B180" s="604"/>
      <c r="C180" s="604"/>
      <c r="D180" s="604"/>
      <c r="E180" s="604"/>
      <c r="F180" s="604"/>
      <c r="G180" s="604"/>
      <c r="H180" s="604"/>
      <c r="I180" s="604"/>
      <c r="J180" s="604"/>
      <c r="K180" s="604"/>
      <c r="L180" s="604"/>
      <c r="M180" s="604"/>
    </row>
    <row r="181" spans="1:13" ht="18.75" x14ac:dyDescent="0.3">
      <c r="A181" s="604"/>
      <c r="B181" s="604"/>
      <c r="C181" s="604"/>
      <c r="D181" s="604"/>
      <c r="E181" s="604"/>
      <c r="F181" s="604"/>
      <c r="G181" s="604"/>
      <c r="H181" s="604"/>
      <c r="I181" s="604"/>
      <c r="J181" s="604"/>
      <c r="K181" s="604"/>
      <c r="L181" s="604"/>
      <c r="M181" s="604"/>
    </row>
    <row r="182" spans="1:13" ht="18.75" x14ac:dyDescent="0.3">
      <c r="A182" s="604"/>
      <c r="B182" s="604"/>
      <c r="C182" s="604"/>
      <c r="D182" s="604"/>
      <c r="E182" s="604"/>
      <c r="F182" s="604"/>
      <c r="G182" s="604"/>
      <c r="H182" s="604"/>
      <c r="I182" s="604"/>
      <c r="J182" s="604"/>
      <c r="K182" s="604"/>
      <c r="L182" s="604"/>
      <c r="M182" s="604"/>
    </row>
    <row r="183" spans="1:13" ht="18.75" x14ac:dyDescent="0.3">
      <c r="A183" s="604"/>
      <c r="B183" s="604"/>
      <c r="C183" s="604"/>
      <c r="D183" s="604"/>
      <c r="E183" s="604"/>
      <c r="F183" s="604"/>
      <c r="G183" s="604"/>
      <c r="H183" s="604"/>
      <c r="I183" s="604"/>
      <c r="J183" s="604"/>
      <c r="K183" s="604"/>
      <c r="L183" s="604"/>
      <c r="M183" s="604"/>
    </row>
    <row r="184" spans="1:13" ht="18.75" x14ac:dyDescent="0.3">
      <c r="A184" s="604"/>
      <c r="B184" s="604"/>
      <c r="C184" s="604"/>
      <c r="D184" s="604"/>
      <c r="E184" s="604"/>
      <c r="F184" s="604"/>
      <c r="G184" s="604"/>
      <c r="H184" s="604"/>
      <c r="I184" s="604"/>
      <c r="J184" s="604"/>
      <c r="K184" s="604"/>
      <c r="L184" s="604"/>
      <c r="M184" s="604"/>
    </row>
    <row r="185" spans="1:13" ht="18.75" x14ac:dyDescent="0.3">
      <c r="A185" s="604"/>
      <c r="B185" s="604"/>
      <c r="C185" s="604"/>
      <c r="D185" s="604"/>
      <c r="E185" s="604"/>
      <c r="F185" s="604"/>
      <c r="G185" s="604"/>
      <c r="H185" s="604"/>
      <c r="I185" s="604"/>
      <c r="J185" s="604"/>
      <c r="K185" s="604"/>
      <c r="L185" s="604"/>
      <c r="M185" s="604"/>
    </row>
    <row r="186" spans="1:13" ht="18.75" x14ac:dyDescent="0.3">
      <c r="A186" s="604"/>
      <c r="B186" s="604"/>
      <c r="C186" s="604"/>
      <c r="D186" s="604"/>
      <c r="E186" s="604"/>
      <c r="F186" s="604"/>
      <c r="G186" s="604"/>
      <c r="H186" s="604"/>
      <c r="I186" s="604"/>
      <c r="J186" s="604"/>
      <c r="K186" s="604"/>
      <c r="L186" s="604"/>
      <c r="M186" s="604"/>
    </row>
    <row r="187" spans="1:13" ht="18.75" x14ac:dyDescent="0.3">
      <c r="A187" s="604"/>
      <c r="B187" s="604"/>
      <c r="C187" s="604"/>
      <c r="D187" s="604"/>
      <c r="E187" s="604"/>
      <c r="F187" s="604"/>
      <c r="G187" s="604"/>
      <c r="H187" s="604"/>
      <c r="I187" s="604"/>
      <c r="J187" s="604"/>
      <c r="K187" s="604"/>
      <c r="L187" s="604"/>
      <c r="M187" s="604"/>
    </row>
    <row r="188" spans="1:13" ht="18.75" x14ac:dyDescent="0.3">
      <c r="A188" s="604"/>
      <c r="B188" s="604"/>
      <c r="C188" s="604"/>
      <c r="D188" s="604"/>
      <c r="E188" s="604"/>
      <c r="F188" s="604"/>
      <c r="G188" s="604"/>
      <c r="H188" s="604"/>
      <c r="I188" s="604"/>
      <c r="J188" s="604"/>
      <c r="K188" s="604"/>
      <c r="L188" s="604"/>
      <c r="M188" s="604"/>
    </row>
    <row r="189" spans="1:13" ht="18.75" x14ac:dyDescent="0.3">
      <c r="A189" s="604"/>
      <c r="B189" s="604"/>
      <c r="C189" s="604"/>
      <c r="D189" s="604"/>
      <c r="E189" s="604"/>
      <c r="F189" s="604"/>
      <c r="G189" s="604"/>
      <c r="H189" s="604"/>
      <c r="I189" s="604"/>
      <c r="J189" s="604"/>
      <c r="K189" s="604"/>
      <c r="L189" s="604"/>
      <c r="M189" s="604"/>
    </row>
    <row r="190" spans="1:13" ht="18.75" x14ac:dyDescent="0.3">
      <c r="A190" s="604"/>
      <c r="B190" s="604"/>
      <c r="C190" s="604"/>
      <c r="D190" s="604"/>
      <c r="E190" s="604"/>
      <c r="F190" s="604"/>
      <c r="G190" s="604"/>
      <c r="H190" s="604"/>
      <c r="I190" s="604"/>
      <c r="J190" s="604"/>
      <c r="K190" s="604"/>
      <c r="L190" s="604"/>
      <c r="M190" s="604"/>
    </row>
    <row r="191" spans="1:13" ht="18.75" x14ac:dyDescent="0.3">
      <c r="A191" s="604"/>
      <c r="B191" s="604"/>
      <c r="C191" s="604"/>
      <c r="D191" s="604"/>
      <c r="E191" s="604"/>
      <c r="F191" s="604"/>
      <c r="G191" s="604"/>
      <c r="H191" s="604"/>
      <c r="I191" s="604"/>
      <c r="J191" s="604"/>
      <c r="K191" s="604"/>
      <c r="L191" s="604"/>
      <c r="M191" s="604"/>
    </row>
    <row r="192" spans="1:13" ht="18.75" x14ac:dyDescent="0.3">
      <c r="A192" s="604"/>
      <c r="B192" s="604"/>
      <c r="C192" s="604"/>
      <c r="D192" s="604"/>
      <c r="E192" s="604"/>
      <c r="F192" s="604"/>
      <c r="G192" s="604"/>
      <c r="H192" s="604"/>
      <c r="I192" s="604"/>
      <c r="J192" s="604"/>
      <c r="K192" s="604"/>
      <c r="L192" s="604"/>
      <c r="M192" s="604"/>
    </row>
    <row r="193" spans="1:13" ht="18.75" x14ac:dyDescent="0.3">
      <c r="A193" s="604"/>
      <c r="B193" s="604"/>
      <c r="C193" s="604"/>
      <c r="D193" s="604"/>
      <c r="E193" s="604"/>
      <c r="F193" s="604"/>
      <c r="G193" s="604"/>
      <c r="H193" s="604"/>
      <c r="I193" s="604"/>
      <c r="J193" s="604"/>
      <c r="K193" s="604"/>
      <c r="L193" s="604"/>
      <c r="M193" s="604"/>
    </row>
    <row r="194" spans="1:13" ht="18.75" x14ac:dyDescent="0.3">
      <c r="A194" s="604"/>
      <c r="B194" s="604"/>
      <c r="C194" s="604"/>
      <c r="D194" s="604"/>
      <c r="E194" s="604"/>
      <c r="F194" s="604"/>
      <c r="G194" s="604"/>
      <c r="H194" s="604"/>
      <c r="I194" s="604"/>
      <c r="J194" s="604"/>
      <c r="K194" s="604"/>
      <c r="L194" s="604"/>
      <c r="M194" s="604"/>
    </row>
    <row r="195" spans="1:13" ht="18.75" x14ac:dyDescent="0.3">
      <c r="A195" s="604"/>
      <c r="B195" s="604"/>
      <c r="C195" s="604"/>
      <c r="D195" s="604"/>
      <c r="E195" s="604"/>
      <c r="F195" s="604"/>
      <c r="G195" s="604"/>
      <c r="H195" s="604"/>
      <c r="I195" s="604"/>
      <c r="J195" s="604"/>
      <c r="K195" s="604"/>
      <c r="L195" s="604"/>
      <c r="M195" s="604"/>
    </row>
    <row r="196" spans="1:13" ht="18.75" x14ac:dyDescent="0.3">
      <c r="A196" s="604"/>
      <c r="B196" s="604"/>
      <c r="C196" s="604"/>
      <c r="D196" s="604"/>
      <c r="E196" s="604"/>
      <c r="F196" s="604"/>
      <c r="G196" s="604"/>
      <c r="H196" s="604"/>
      <c r="I196" s="604"/>
      <c r="J196" s="604"/>
      <c r="K196" s="604"/>
      <c r="L196" s="604"/>
      <c r="M196" s="604"/>
    </row>
    <row r="197" spans="1:13" ht="18.75" x14ac:dyDescent="0.3">
      <c r="A197" s="604"/>
      <c r="B197" s="604"/>
      <c r="C197" s="604"/>
      <c r="D197" s="604"/>
      <c r="E197" s="604"/>
      <c r="F197" s="604"/>
      <c r="G197" s="604"/>
      <c r="H197" s="604"/>
      <c r="I197" s="604"/>
      <c r="J197" s="604"/>
      <c r="K197" s="604"/>
      <c r="L197" s="604"/>
      <c r="M197" s="604"/>
    </row>
    <row r="198" spans="1:13" ht="18.75" x14ac:dyDescent="0.3">
      <c r="A198" s="604"/>
      <c r="B198" s="604"/>
      <c r="C198" s="604"/>
      <c r="D198" s="604"/>
      <c r="E198" s="604"/>
      <c r="F198" s="604"/>
      <c r="G198" s="604"/>
      <c r="H198" s="604"/>
      <c r="I198" s="604"/>
      <c r="J198" s="604"/>
      <c r="K198" s="604"/>
      <c r="L198" s="604"/>
      <c r="M198" s="604"/>
    </row>
    <row r="199" spans="1:13" ht="18.75" x14ac:dyDescent="0.3">
      <c r="A199" s="604"/>
      <c r="B199" s="604"/>
      <c r="C199" s="604"/>
      <c r="D199" s="604"/>
      <c r="E199" s="604"/>
      <c r="F199" s="604"/>
      <c r="G199" s="604"/>
      <c r="H199" s="604"/>
      <c r="I199" s="604"/>
      <c r="J199" s="604"/>
      <c r="K199" s="604"/>
      <c r="L199" s="604"/>
      <c r="M199" s="604"/>
    </row>
    <row r="200" spans="1:13" ht="18.75" x14ac:dyDescent="0.3">
      <c r="A200" s="604"/>
      <c r="B200" s="604"/>
      <c r="C200" s="604"/>
      <c r="D200" s="604"/>
      <c r="E200" s="604"/>
      <c r="F200" s="604"/>
      <c r="G200" s="604"/>
      <c r="H200" s="604"/>
      <c r="I200" s="604"/>
      <c r="J200" s="604"/>
      <c r="K200" s="604"/>
      <c r="L200" s="604"/>
      <c r="M200" s="604"/>
    </row>
    <row r="201" spans="1:13" ht="18.75" x14ac:dyDescent="0.3">
      <c r="A201" s="604"/>
      <c r="B201" s="604"/>
      <c r="C201" s="604"/>
      <c r="D201" s="604"/>
      <c r="E201" s="604"/>
      <c r="F201" s="604"/>
      <c r="G201" s="604"/>
      <c r="H201" s="604"/>
      <c r="I201" s="604"/>
      <c r="J201" s="604"/>
      <c r="K201" s="604"/>
      <c r="L201" s="604"/>
      <c r="M201" s="604"/>
    </row>
    <row r="202" spans="1:13" ht="18.75" x14ac:dyDescent="0.3">
      <c r="A202" s="604"/>
      <c r="B202" s="604"/>
      <c r="C202" s="604"/>
      <c r="D202" s="604"/>
      <c r="E202" s="604"/>
      <c r="F202" s="604"/>
      <c r="G202" s="604"/>
      <c r="H202" s="604"/>
      <c r="I202" s="604"/>
      <c r="J202" s="604"/>
      <c r="K202" s="604"/>
      <c r="L202" s="604"/>
      <c r="M202" s="604"/>
    </row>
    <row r="203" spans="1:13" ht="18.75" x14ac:dyDescent="0.3">
      <c r="A203" s="604"/>
      <c r="B203" s="604"/>
      <c r="C203" s="604"/>
      <c r="D203" s="604"/>
      <c r="E203" s="604"/>
      <c r="F203" s="604"/>
      <c r="G203" s="604"/>
      <c r="H203" s="604"/>
      <c r="I203" s="604"/>
      <c r="J203" s="604"/>
      <c r="K203" s="604"/>
      <c r="L203" s="604"/>
      <c r="M203" s="604"/>
    </row>
    <row r="204" spans="1:13" ht="18.75" x14ac:dyDescent="0.3">
      <c r="A204" s="604"/>
      <c r="B204" s="604"/>
      <c r="C204" s="604"/>
      <c r="D204" s="604"/>
      <c r="E204" s="604"/>
      <c r="F204" s="604"/>
      <c r="G204" s="604"/>
      <c r="H204" s="604"/>
      <c r="I204" s="604"/>
      <c r="J204" s="604"/>
      <c r="K204" s="604"/>
      <c r="L204" s="604"/>
      <c r="M204" s="604"/>
    </row>
    <row r="205" spans="1:13" ht="18.75" x14ac:dyDescent="0.3">
      <c r="A205" s="604"/>
      <c r="B205" s="604"/>
      <c r="C205" s="604"/>
      <c r="D205" s="604"/>
      <c r="E205" s="604"/>
      <c r="F205" s="604"/>
      <c r="G205" s="604"/>
      <c r="H205" s="604"/>
      <c r="I205" s="604"/>
      <c r="J205" s="604"/>
      <c r="K205" s="604"/>
      <c r="L205" s="604"/>
      <c r="M205" s="604"/>
    </row>
    <row r="206" spans="1:13" ht="18.75" x14ac:dyDescent="0.3">
      <c r="A206" s="604"/>
      <c r="B206" s="604"/>
      <c r="C206" s="604"/>
      <c r="D206" s="604"/>
      <c r="E206" s="604"/>
      <c r="F206" s="604"/>
      <c r="G206" s="604"/>
      <c r="H206" s="604"/>
      <c r="I206" s="604"/>
      <c r="J206" s="604"/>
      <c r="K206" s="604"/>
      <c r="L206" s="604"/>
      <c r="M206" s="604"/>
    </row>
    <row r="207" spans="1:13" ht="18.75" x14ac:dyDescent="0.3">
      <c r="A207" s="604"/>
      <c r="B207" s="604"/>
      <c r="C207" s="604"/>
      <c r="D207" s="604"/>
      <c r="E207" s="604"/>
      <c r="F207" s="604"/>
      <c r="G207" s="604"/>
      <c r="H207" s="604"/>
      <c r="I207" s="604"/>
      <c r="J207" s="604"/>
      <c r="K207" s="604"/>
      <c r="L207" s="604"/>
      <c r="M207" s="604"/>
    </row>
    <row r="208" spans="1:13" ht="18.75" x14ac:dyDescent="0.3">
      <c r="A208" s="604"/>
      <c r="B208" s="604"/>
      <c r="C208" s="604"/>
      <c r="D208" s="604"/>
      <c r="E208" s="604"/>
      <c r="F208" s="604"/>
      <c r="G208" s="604"/>
      <c r="H208" s="604"/>
      <c r="I208" s="604"/>
      <c r="J208" s="604"/>
      <c r="K208" s="604"/>
      <c r="L208" s="604"/>
      <c r="M208" s="604"/>
    </row>
    <row r="209" spans="1:13" ht="18.75" x14ac:dyDescent="0.3">
      <c r="A209" s="604"/>
      <c r="B209" s="604"/>
      <c r="C209" s="604"/>
      <c r="D209" s="604"/>
      <c r="E209" s="604"/>
      <c r="F209" s="604"/>
      <c r="G209" s="604"/>
      <c r="H209" s="604"/>
      <c r="I209" s="604"/>
      <c r="J209" s="604"/>
      <c r="K209" s="604"/>
      <c r="L209" s="604"/>
      <c r="M209" s="604"/>
    </row>
    <row r="210" spans="1:13" ht="18.75" x14ac:dyDescent="0.3">
      <c r="A210" s="604"/>
      <c r="B210" s="604"/>
      <c r="C210" s="604"/>
      <c r="D210" s="604"/>
      <c r="E210" s="604"/>
      <c r="F210" s="604"/>
      <c r="G210" s="604"/>
      <c r="H210" s="604"/>
      <c r="I210" s="604"/>
      <c r="J210" s="604"/>
      <c r="K210" s="604"/>
      <c r="L210" s="604"/>
      <c r="M210" s="604"/>
    </row>
    <row r="211" spans="1:13" ht="18.75" x14ac:dyDescent="0.3">
      <c r="A211" s="604"/>
      <c r="B211" s="604"/>
      <c r="C211" s="604"/>
      <c r="D211" s="604"/>
      <c r="E211" s="604"/>
      <c r="F211" s="604"/>
      <c r="G211" s="604"/>
      <c r="H211" s="604"/>
      <c r="I211" s="604"/>
      <c r="J211" s="604"/>
      <c r="K211" s="604"/>
      <c r="L211" s="604"/>
      <c r="M211" s="604"/>
    </row>
    <row r="212" spans="1:13" ht="18.75" x14ac:dyDescent="0.3">
      <c r="A212" s="604"/>
      <c r="B212" s="604"/>
      <c r="C212" s="604"/>
      <c r="D212" s="604"/>
      <c r="E212" s="604"/>
      <c r="F212" s="604"/>
      <c r="G212" s="604"/>
      <c r="H212" s="604"/>
      <c r="I212" s="604"/>
      <c r="J212" s="604"/>
      <c r="K212" s="604"/>
      <c r="L212" s="604"/>
      <c r="M212" s="604"/>
    </row>
    <row r="213" spans="1:13" ht="18.75" x14ac:dyDescent="0.3">
      <c r="A213" s="604"/>
      <c r="B213" s="604"/>
      <c r="C213" s="604"/>
      <c r="D213" s="604"/>
      <c r="E213" s="604"/>
      <c r="F213" s="604"/>
      <c r="G213" s="604"/>
      <c r="H213" s="604"/>
      <c r="I213" s="604"/>
      <c r="J213" s="604"/>
      <c r="K213" s="604"/>
      <c r="L213" s="604"/>
      <c r="M213" s="604"/>
    </row>
    <row r="214" spans="1:13" ht="18.75" x14ac:dyDescent="0.3">
      <c r="A214" s="604"/>
      <c r="B214" s="604"/>
      <c r="C214" s="604"/>
      <c r="D214" s="604"/>
      <c r="E214" s="604"/>
      <c r="F214" s="604"/>
      <c r="G214" s="604"/>
      <c r="H214" s="604"/>
      <c r="I214" s="604"/>
      <c r="J214" s="604"/>
      <c r="K214" s="604"/>
      <c r="L214" s="604"/>
      <c r="M214" s="604"/>
    </row>
    <row r="215" spans="1:13" ht="18.75" x14ac:dyDescent="0.3">
      <c r="A215" s="604"/>
      <c r="B215" s="604"/>
      <c r="C215" s="604"/>
      <c r="D215" s="604"/>
      <c r="E215" s="604"/>
      <c r="F215" s="604"/>
      <c r="G215" s="604"/>
      <c r="H215" s="604"/>
      <c r="I215" s="604"/>
      <c r="J215" s="604"/>
      <c r="K215" s="604"/>
      <c r="L215" s="604"/>
      <c r="M215" s="604"/>
    </row>
    <row r="216" spans="1:13" ht="18.75" x14ac:dyDescent="0.3">
      <c r="A216" s="604"/>
      <c r="B216" s="604"/>
      <c r="C216" s="604"/>
      <c r="D216" s="604"/>
      <c r="E216" s="604"/>
      <c r="F216" s="604"/>
      <c r="G216" s="604"/>
      <c r="H216" s="604"/>
      <c r="I216" s="604"/>
      <c r="J216" s="604"/>
      <c r="K216" s="604"/>
      <c r="L216" s="604"/>
      <c r="M216" s="604"/>
    </row>
    <row r="217" spans="1:13" ht="18.75" x14ac:dyDescent="0.3">
      <c r="A217" s="604"/>
      <c r="B217" s="604"/>
      <c r="C217" s="604"/>
      <c r="D217" s="604"/>
      <c r="E217" s="604"/>
      <c r="F217" s="604"/>
      <c r="G217" s="604"/>
      <c r="H217" s="604"/>
      <c r="I217" s="604"/>
      <c r="J217" s="604"/>
      <c r="K217" s="604"/>
      <c r="L217" s="604"/>
      <c r="M217" s="604"/>
    </row>
    <row r="218" spans="1:13" ht="18.75" x14ac:dyDescent="0.3">
      <c r="A218" s="604"/>
      <c r="B218" s="604"/>
      <c r="C218" s="604"/>
      <c r="D218" s="604"/>
      <c r="E218" s="604"/>
      <c r="F218" s="604"/>
      <c r="G218" s="604"/>
      <c r="H218" s="604"/>
      <c r="I218" s="604"/>
      <c r="J218" s="604"/>
      <c r="K218" s="604"/>
      <c r="L218" s="604"/>
      <c r="M218" s="604"/>
    </row>
    <row r="219" spans="1:13" ht="18.75" x14ac:dyDescent="0.3">
      <c r="A219" s="604"/>
      <c r="B219" s="604"/>
      <c r="C219" s="604"/>
      <c r="D219" s="604"/>
      <c r="E219" s="604"/>
      <c r="F219" s="604"/>
      <c r="G219" s="604"/>
      <c r="H219" s="604"/>
      <c r="I219" s="604"/>
      <c r="J219" s="604"/>
      <c r="K219" s="604"/>
      <c r="L219" s="604"/>
      <c r="M219" s="604"/>
    </row>
    <row r="220" spans="1:13" ht="18.75" x14ac:dyDescent="0.3">
      <c r="A220" s="604"/>
      <c r="B220" s="604"/>
      <c r="C220" s="604"/>
      <c r="D220" s="604"/>
      <c r="E220" s="604"/>
      <c r="F220" s="604"/>
      <c r="G220" s="604"/>
      <c r="H220" s="604"/>
      <c r="I220" s="604"/>
      <c r="J220" s="604"/>
      <c r="K220" s="604"/>
      <c r="L220" s="604"/>
      <c r="M220" s="604"/>
    </row>
    <row r="221" spans="1:13" ht="18.75" x14ac:dyDescent="0.3">
      <c r="A221" s="604"/>
      <c r="B221" s="604"/>
      <c r="C221" s="604"/>
      <c r="D221" s="604"/>
      <c r="E221" s="604"/>
      <c r="F221" s="604"/>
      <c r="G221" s="604"/>
      <c r="H221" s="604"/>
      <c r="I221" s="604"/>
      <c r="J221" s="604"/>
      <c r="K221" s="604"/>
      <c r="L221" s="604"/>
      <c r="M221" s="604"/>
    </row>
    <row r="222" spans="1:13" ht="18.75" x14ac:dyDescent="0.3">
      <c r="A222" s="604"/>
      <c r="B222" s="604"/>
      <c r="C222" s="604"/>
      <c r="D222" s="604"/>
      <c r="E222" s="604"/>
      <c r="F222" s="604"/>
      <c r="G222" s="604"/>
      <c r="H222" s="604"/>
      <c r="I222" s="604"/>
      <c r="J222" s="604"/>
      <c r="K222" s="604"/>
      <c r="L222" s="604"/>
      <c r="M222" s="604"/>
    </row>
    <row r="223" spans="1:13" ht="18.75" x14ac:dyDescent="0.3">
      <c r="A223" s="604"/>
      <c r="B223" s="604"/>
      <c r="C223" s="604"/>
      <c r="D223" s="604"/>
      <c r="E223" s="604"/>
      <c r="F223" s="604"/>
      <c r="G223" s="604"/>
      <c r="H223" s="604"/>
      <c r="I223" s="604"/>
      <c r="J223" s="604"/>
      <c r="K223" s="604"/>
      <c r="L223" s="604"/>
      <c r="M223" s="604"/>
    </row>
    <row r="224" spans="1:13" ht="18.75" x14ac:dyDescent="0.3">
      <c r="A224" s="604"/>
      <c r="B224" s="604"/>
      <c r="C224" s="604"/>
      <c r="D224" s="604"/>
      <c r="E224" s="604"/>
      <c r="F224" s="604"/>
      <c r="G224" s="604"/>
      <c r="H224" s="604"/>
      <c r="I224" s="604"/>
      <c r="J224" s="604"/>
      <c r="K224" s="604"/>
      <c r="L224" s="604"/>
      <c r="M224" s="604"/>
    </row>
    <row r="225" spans="1:13" ht="18.75" x14ac:dyDescent="0.3">
      <c r="A225" s="604"/>
      <c r="B225" s="604"/>
      <c r="C225" s="604"/>
      <c r="D225" s="604"/>
      <c r="E225" s="604"/>
      <c r="F225" s="604"/>
      <c r="G225" s="604"/>
      <c r="H225" s="604"/>
      <c r="I225" s="604"/>
      <c r="J225" s="604"/>
      <c r="K225" s="604"/>
      <c r="L225" s="604"/>
      <c r="M225" s="604"/>
    </row>
    <row r="226" spans="1:13" ht="18.75" x14ac:dyDescent="0.3">
      <c r="A226" s="604"/>
      <c r="B226" s="604"/>
      <c r="C226" s="604"/>
      <c r="D226" s="604"/>
      <c r="E226" s="604"/>
      <c r="F226" s="604"/>
      <c r="G226" s="604"/>
      <c r="H226" s="604"/>
      <c r="I226" s="604"/>
      <c r="J226" s="604"/>
      <c r="K226" s="604"/>
      <c r="L226" s="604"/>
      <c r="M226" s="604"/>
    </row>
    <row r="227" spans="1:13" ht="18.75" x14ac:dyDescent="0.3">
      <c r="A227" s="604"/>
      <c r="B227" s="604"/>
      <c r="C227" s="604"/>
      <c r="D227" s="604"/>
      <c r="E227" s="604"/>
      <c r="F227" s="604"/>
      <c r="G227" s="604"/>
      <c r="H227" s="604"/>
      <c r="I227" s="604"/>
      <c r="J227" s="604"/>
      <c r="K227" s="604"/>
      <c r="L227" s="604"/>
      <c r="M227" s="604"/>
    </row>
    <row r="228" spans="1:13" ht="18.75" x14ac:dyDescent="0.3">
      <c r="A228" s="604"/>
      <c r="B228" s="604"/>
      <c r="C228" s="604"/>
      <c r="D228" s="604"/>
      <c r="E228" s="604"/>
      <c r="F228" s="604"/>
      <c r="G228" s="604"/>
      <c r="H228" s="604"/>
      <c r="I228" s="604"/>
      <c r="J228" s="604"/>
      <c r="K228" s="604"/>
      <c r="L228" s="604"/>
      <c r="M228" s="604"/>
    </row>
    <row r="229" spans="1:13" ht="18.75" x14ac:dyDescent="0.3">
      <c r="A229" s="604"/>
      <c r="B229" s="604"/>
      <c r="C229" s="604"/>
      <c r="D229" s="604"/>
      <c r="E229" s="604"/>
      <c r="F229" s="604"/>
      <c r="G229" s="604"/>
      <c r="H229" s="604"/>
      <c r="I229" s="604"/>
      <c r="J229" s="604"/>
      <c r="K229" s="604"/>
      <c r="L229" s="604"/>
      <c r="M229" s="604"/>
    </row>
    <row r="230" spans="1:13" ht="18.75" x14ac:dyDescent="0.3">
      <c r="A230" s="604"/>
      <c r="B230" s="604"/>
      <c r="C230" s="604"/>
      <c r="D230" s="604"/>
      <c r="E230" s="604"/>
      <c r="F230" s="604"/>
      <c r="G230" s="604"/>
      <c r="H230" s="604"/>
      <c r="I230" s="604"/>
      <c r="J230" s="604"/>
      <c r="K230" s="604"/>
      <c r="L230" s="604"/>
      <c r="M230" s="604"/>
    </row>
    <row r="231" spans="1:13" ht="18.75" x14ac:dyDescent="0.3">
      <c r="A231" s="604"/>
      <c r="B231" s="604"/>
      <c r="C231" s="604"/>
      <c r="D231" s="604"/>
      <c r="E231" s="604"/>
      <c r="F231" s="604"/>
      <c r="G231" s="604"/>
      <c r="H231" s="604"/>
      <c r="I231" s="604"/>
      <c r="J231" s="604"/>
      <c r="K231" s="604"/>
      <c r="L231" s="604"/>
      <c r="M231" s="604"/>
    </row>
    <row r="232" spans="1:13" ht="18.75" x14ac:dyDescent="0.3">
      <c r="A232" s="604"/>
      <c r="B232" s="604"/>
      <c r="C232" s="604"/>
      <c r="D232" s="604"/>
      <c r="E232" s="604"/>
      <c r="F232" s="604"/>
      <c r="G232" s="604"/>
      <c r="H232" s="604"/>
      <c r="I232" s="604"/>
      <c r="J232" s="604"/>
      <c r="K232" s="604"/>
      <c r="L232" s="604"/>
      <c r="M232" s="604"/>
    </row>
    <row r="233" spans="1:13" ht="18.75" x14ac:dyDescent="0.3">
      <c r="A233" s="604"/>
      <c r="B233" s="604"/>
      <c r="C233" s="604"/>
      <c r="D233" s="604"/>
      <c r="E233" s="604"/>
      <c r="F233" s="604"/>
      <c r="G233" s="604"/>
      <c r="H233" s="604"/>
      <c r="I233" s="604"/>
      <c r="J233" s="604"/>
      <c r="K233" s="604"/>
      <c r="L233" s="604"/>
      <c r="M233" s="604"/>
    </row>
    <row r="234" spans="1:13" ht="18.75" x14ac:dyDescent="0.3">
      <c r="A234" s="604"/>
      <c r="B234" s="604"/>
      <c r="C234" s="604"/>
      <c r="D234" s="604"/>
      <c r="E234" s="604"/>
      <c r="F234" s="604"/>
      <c r="G234" s="604"/>
      <c r="H234" s="604"/>
      <c r="I234" s="604"/>
      <c r="J234" s="604"/>
      <c r="K234" s="604"/>
      <c r="L234" s="604"/>
      <c r="M234" s="604"/>
    </row>
    <row r="235" spans="1:13" ht="18.75" x14ac:dyDescent="0.3">
      <c r="A235" s="604"/>
      <c r="B235" s="604"/>
      <c r="C235" s="604"/>
      <c r="D235" s="604"/>
      <c r="E235" s="604"/>
      <c r="F235" s="604"/>
      <c r="G235" s="604"/>
      <c r="H235" s="604"/>
      <c r="I235" s="604"/>
      <c r="J235" s="604"/>
      <c r="K235" s="604"/>
      <c r="L235" s="604"/>
      <c r="M235" s="604"/>
    </row>
    <row r="236" spans="1:13" ht="18.75" x14ac:dyDescent="0.3">
      <c r="A236" s="604"/>
      <c r="B236" s="604"/>
      <c r="C236" s="604"/>
      <c r="D236" s="604"/>
      <c r="E236" s="604"/>
      <c r="F236" s="604"/>
      <c r="G236" s="604"/>
      <c r="H236" s="604"/>
      <c r="I236" s="604"/>
      <c r="J236" s="604"/>
      <c r="K236" s="604"/>
      <c r="L236" s="604"/>
      <c r="M236" s="604"/>
    </row>
    <row r="237" spans="1:13" ht="18.75" x14ac:dyDescent="0.3">
      <c r="A237" s="604"/>
      <c r="B237" s="604"/>
      <c r="C237" s="604"/>
      <c r="D237" s="604"/>
      <c r="E237" s="604"/>
      <c r="F237" s="604"/>
      <c r="G237" s="604"/>
      <c r="H237" s="604"/>
      <c r="I237" s="604"/>
      <c r="J237" s="604"/>
      <c r="K237" s="604"/>
      <c r="L237" s="604"/>
      <c r="M237" s="604"/>
    </row>
    <row r="238" spans="1:13" ht="18.75" x14ac:dyDescent="0.3">
      <c r="A238" s="604"/>
      <c r="B238" s="604"/>
      <c r="C238" s="604"/>
      <c r="D238" s="604"/>
      <c r="E238" s="604"/>
      <c r="F238" s="604"/>
      <c r="G238" s="604"/>
      <c r="H238" s="604"/>
      <c r="I238" s="604"/>
      <c r="J238" s="604"/>
      <c r="K238" s="604"/>
      <c r="L238" s="604"/>
      <c r="M238" s="604"/>
    </row>
    <row r="239" spans="1:13" ht="18.75" x14ac:dyDescent="0.3">
      <c r="A239" s="604"/>
      <c r="B239" s="604"/>
      <c r="C239" s="604"/>
      <c r="D239" s="604"/>
      <c r="E239" s="604"/>
      <c r="F239" s="604"/>
      <c r="G239" s="604"/>
      <c r="H239" s="604"/>
      <c r="I239" s="604"/>
      <c r="J239" s="604"/>
      <c r="K239" s="604"/>
      <c r="L239" s="604"/>
      <c r="M239" s="604"/>
    </row>
    <row r="240" spans="1:13" ht="18.75" x14ac:dyDescent="0.3">
      <c r="A240" s="604"/>
      <c r="B240" s="604"/>
      <c r="C240" s="604"/>
      <c r="D240" s="604"/>
      <c r="E240" s="604"/>
      <c r="F240" s="604"/>
      <c r="G240" s="604"/>
      <c r="H240" s="604"/>
      <c r="I240" s="604"/>
      <c r="J240" s="604"/>
      <c r="K240" s="604"/>
      <c r="L240" s="604"/>
      <c r="M240" s="604"/>
    </row>
    <row r="241" spans="1:13" ht="18.75" x14ac:dyDescent="0.3">
      <c r="A241" s="604"/>
      <c r="B241" s="604"/>
      <c r="C241" s="604"/>
      <c r="D241" s="604"/>
      <c r="E241" s="604"/>
      <c r="F241" s="604"/>
      <c r="G241" s="604"/>
      <c r="H241" s="604"/>
      <c r="I241" s="604"/>
      <c r="J241" s="604"/>
      <c r="K241" s="604"/>
      <c r="L241" s="604"/>
      <c r="M241" s="604"/>
    </row>
    <row r="242" spans="1:13" ht="18.75" x14ac:dyDescent="0.3">
      <c r="A242" s="604"/>
      <c r="B242" s="604"/>
      <c r="C242" s="604"/>
      <c r="D242" s="604"/>
      <c r="E242" s="604"/>
      <c r="F242" s="604"/>
      <c r="G242" s="604"/>
      <c r="H242" s="604"/>
      <c r="I242" s="604"/>
      <c r="J242" s="604"/>
      <c r="K242" s="604"/>
      <c r="L242" s="604"/>
      <c r="M242" s="604"/>
    </row>
    <row r="243" spans="1:13" ht="18.75" x14ac:dyDescent="0.3">
      <c r="A243" s="604"/>
      <c r="B243" s="604"/>
      <c r="C243" s="604"/>
      <c r="D243" s="604"/>
      <c r="E243" s="604"/>
      <c r="F243" s="604"/>
      <c r="G243" s="604"/>
      <c r="H243" s="604"/>
      <c r="I243" s="604"/>
      <c r="J243" s="604"/>
      <c r="K243" s="604"/>
      <c r="L243" s="604"/>
      <c r="M243" s="604"/>
    </row>
    <row r="244" spans="1:13" ht="18.75" x14ac:dyDescent="0.3">
      <c r="A244" s="604"/>
      <c r="B244" s="604"/>
      <c r="C244" s="604"/>
      <c r="D244" s="604"/>
      <c r="E244" s="604"/>
      <c r="F244" s="604"/>
      <c r="G244" s="604"/>
      <c r="H244" s="604"/>
      <c r="I244" s="604"/>
      <c r="J244" s="604"/>
      <c r="K244" s="604"/>
      <c r="L244" s="604"/>
      <c r="M244" s="604"/>
    </row>
    <row r="245" spans="1:13" ht="18.75" x14ac:dyDescent="0.3">
      <c r="A245" s="604"/>
      <c r="B245" s="604"/>
      <c r="C245" s="604"/>
      <c r="D245" s="604"/>
      <c r="E245" s="604"/>
      <c r="F245" s="604"/>
      <c r="G245" s="604"/>
      <c r="H245" s="604"/>
      <c r="I245" s="604"/>
      <c r="J245" s="604"/>
      <c r="K245" s="604"/>
      <c r="L245" s="604"/>
      <c r="M245" s="604"/>
    </row>
    <row r="246" spans="1:13" ht="18.75" x14ac:dyDescent="0.3">
      <c r="A246" s="604"/>
      <c r="B246" s="604"/>
      <c r="C246" s="604"/>
      <c r="D246" s="604"/>
      <c r="E246" s="604"/>
      <c r="F246" s="604"/>
      <c r="G246" s="604"/>
      <c r="H246" s="604"/>
      <c r="I246" s="604"/>
      <c r="J246" s="604"/>
      <c r="K246" s="604"/>
      <c r="L246" s="604"/>
      <c r="M246" s="604"/>
    </row>
    <row r="247" spans="1:13" ht="18.75" x14ac:dyDescent="0.3">
      <c r="A247" s="604"/>
      <c r="B247" s="604"/>
      <c r="C247" s="604"/>
      <c r="D247" s="604"/>
      <c r="E247" s="604"/>
      <c r="F247" s="604"/>
      <c r="G247" s="604"/>
      <c r="H247" s="604"/>
      <c r="I247" s="604"/>
      <c r="J247" s="604"/>
      <c r="K247" s="604"/>
      <c r="L247" s="604"/>
      <c r="M247" s="604"/>
    </row>
    <row r="248" spans="1:13" ht="18.75" x14ac:dyDescent="0.3">
      <c r="A248" s="604"/>
      <c r="B248" s="604"/>
      <c r="C248" s="604"/>
      <c r="D248" s="604"/>
      <c r="E248" s="604"/>
      <c r="F248" s="604"/>
      <c r="G248" s="604"/>
      <c r="H248" s="604"/>
      <c r="I248" s="604"/>
      <c r="J248" s="604"/>
      <c r="K248" s="604"/>
      <c r="L248" s="604"/>
      <c r="M248" s="604"/>
    </row>
    <row r="249" spans="1:13" ht="18.75" x14ac:dyDescent="0.3">
      <c r="A249" s="604"/>
      <c r="B249" s="604"/>
      <c r="C249" s="604"/>
      <c r="D249" s="604"/>
      <c r="E249" s="604"/>
      <c r="F249" s="604"/>
      <c r="G249" s="604"/>
      <c r="H249" s="604"/>
      <c r="I249" s="604"/>
      <c r="J249" s="604"/>
      <c r="K249" s="604"/>
      <c r="L249" s="604"/>
      <c r="M249" s="604"/>
    </row>
    <row r="250" spans="1:13" ht="18.75" x14ac:dyDescent="0.3">
      <c r="A250" s="604"/>
      <c r="B250" s="604"/>
      <c r="C250" s="604"/>
      <c r="D250" s="604"/>
      <c r="E250" s="604"/>
      <c r="F250" s="604"/>
      <c r="G250" s="604"/>
      <c r="H250" s="604"/>
      <c r="I250" s="604"/>
      <c r="J250" s="604"/>
      <c r="K250" s="604"/>
      <c r="L250" s="604"/>
      <c r="M250" s="604"/>
    </row>
    <row r="251" spans="1:13" ht="18.75" x14ac:dyDescent="0.3">
      <c r="A251" s="604"/>
      <c r="B251" s="604"/>
      <c r="C251" s="604"/>
      <c r="D251" s="604"/>
      <c r="E251" s="604"/>
      <c r="F251" s="604"/>
      <c r="G251" s="604"/>
      <c r="H251" s="604"/>
      <c r="I251" s="604"/>
      <c r="J251" s="604"/>
      <c r="K251" s="604"/>
      <c r="L251" s="604"/>
      <c r="M251" s="604"/>
    </row>
    <row r="252" spans="1:13" ht="18.75" x14ac:dyDescent="0.3">
      <c r="A252" s="604"/>
      <c r="B252" s="604"/>
      <c r="C252" s="604"/>
      <c r="D252" s="604"/>
      <c r="E252" s="604"/>
      <c r="F252" s="604"/>
      <c r="G252" s="604"/>
      <c r="H252" s="604"/>
      <c r="I252" s="604"/>
      <c r="J252" s="604"/>
      <c r="K252" s="604"/>
      <c r="L252" s="604"/>
      <c r="M252" s="604"/>
    </row>
    <row r="253" spans="1:13" ht="18.75" x14ac:dyDescent="0.3">
      <c r="A253" s="604"/>
      <c r="B253" s="604"/>
      <c r="C253" s="604"/>
      <c r="D253" s="604"/>
      <c r="E253" s="604"/>
      <c r="F253" s="604"/>
      <c r="G253" s="604"/>
      <c r="H253" s="604"/>
      <c r="I253" s="604"/>
      <c r="J253" s="604"/>
      <c r="K253" s="604"/>
      <c r="L253" s="604"/>
      <c r="M253" s="604"/>
    </row>
    <row r="254" spans="1:13" ht="18.75" x14ac:dyDescent="0.3">
      <c r="A254" s="604"/>
      <c r="B254" s="604"/>
      <c r="C254" s="604"/>
      <c r="D254" s="604"/>
      <c r="E254" s="604"/>
      <c r="F254" s="604"/>
      <c r="G254" s="604"/>
      <c r="H254" s="604"/>
      <c r="I254" s="604"/>
      <c r="J254" s="604"/>
      <c r="K254" s="604"/>
      <c r="L254" s="604"/>
      <c r="M254" s="604"/>
    </row>
    <row r="255" spans="1:13" ht="18.75" x14ac:dyDescent="0.3">
      <c r="A255" s="604"/>
      <c r="B255" s="604"/>
      <c r="C255" s="604"/>
      <c r="D255" s="604"/>
      <c r="E255" s="604"/>
      <c r="F255" s="604"/>
      <c r="G255" s="604"/>
      <c r="H255" s="604"/>
      <c r="I255" s="604"/>
      <c r="J255" s="604"/>
      <c r="K255" s="604"/>
      <c r="L255" s="604"/>
      <c r="M255" s="604"/>
    </row>
    <row r="256" spans="1:13" ht="18.75" x14ac:dyDescent="0.3">
      <c r="A256" s="604"/>
      <c r="B256" s="604"/>
      <c r="C256" s="604"/>
      <c r="D256" s="604"/>
      <c r="E256" s="604"/>
      <c r="F256" s="604"/>
      <c r="G256" s="604"/>
      <c r="H256" s="604"/>
      <c r="I256" s="604"/>
      <c r="J256" s="604"/>
      <c r="K256" s="604"/>
      <c r="L256" s="604"/>
      <c r="M256" s="604"/>
    </row>
    <row r="257" spans="1:13" ht="18.75" x14ac:dyDescent="0.3">
      <c r="A257" s="604"/>
      <c r="B257" s="604"/>
      <c r="C257" s="604"/>
      <c r="D257" s="604"/>
      <c r="E257" s="604"/>
      <c r="F257" s="604"/>
      <c r="G257" s="604"/>
      <c r="H257" s="604"/>
      <c r="I257" s="604"/>
      <c r="J257" s="604"/>
      <c r="K257" s="604"/>
      <c r="L257" s="604"/>
      <c r="M257" s="604"/>
    </row>
    <row r="258" spans="1:13" ht="18.75" x14ac:dyDescent="0.3">
      <c r="A258" s="604"/>
      <c r="B258" s="604"/>
      <c r="C258" s="604"/>
      <c r="D258" s="604"/>
      <c r="E258" s="604"/>
      <c r="F258" s="604"/>
      <c r="G258" s="604"/>
      <c r="H258" s="604"/>
      <c r="I258" s="604"/>
      <c r="J258" s="604"/>
      <c r="K258" s="604"/>
      <c r="L258" s="604"/>
      <c r="M258" s="604"/>
    </row>
    <row r="259" spans="1:13" ht="18.75" x14ac:dyDescent="0.3">
      <c r="A259" s="604"/>
      <c r="B259" s="604"/>
      <c r="C259" s="604"/>
      <c r="D259" s="604"/>
      <c r="E259" s="604"/>
      <c r="F259" s="604"/>
      <c r="G259" s="604"/>
      <c r="H259" s="604"/>
      <c r="I259" s="604"/>
      <c r="J259" s="604"/>
      <c r="K259" s="604"/>
      <c r="L259" s="604"/>
      <c r="M259" s="604"/>
    </row>
    <row r="260" spans="1:13" ht="18.75" x14ac:dyDescent="0.3">
      <c r="A260" s="604"/>
      <c r="B260" s="604"/>
      <c r="C260" s="604"/>
      <c r="D260" s="604"/>
      <c r="E260" s="604"/>
      <c r="F260" s="604"/>
      <c r="G260" s="604"/>
      <c r="H260" s="604"/>
      <c r="I260" s="604"/>
      <c r="J260" s="604"/>
      <c r="K260" s="604"/>
      <c r="L260" s="604"/>
      <c r="M260" s="604"/>
    </row>
    <row r="261" spans="1:13" ht="18.75" x14ac:dyDescent="0.3">
      <c r="A261" s="604"/>
      <c r="B261" s="604"/>
      <c r="C261" s="604"/>
      <c r="D261" s="604"/>
      <c r="E261" s="604"/>
      <c r="F261" s="604"/>
      <c r="G261" s="604"/>
      <c r="H261" s="604"/>
      <c r="I261" s="604"/>
      <c r="J261" s="604"/>
      <c r="K261" s="604"/>
      <c r="L261" s="604"/>
      <c r="M261" s="604"/>
    </row>
    <row r="262" spans="1:13" ht="18.75" x14ac:dyDescent="0.3">
      <c r="A262" s="604"/>
      <c r="B262" s="604"/>
      <c r="C262" s="604"/>
      <c r="D262" s="604"/>
      <c r="E262" s="604"/>
      <c r="F262" s="604"/>
      <c r="G262" s="604"/>
      <c r="H262" s="604"/>
      <c r="I262" s="604"/>
      <c r="J262" s="604"/>
      <c r="K262" s="604"/>
      <c r="L262" s="604"/>
      <c r="M262" s="604"/>
    </row>
    <row r="263" spans="1:13" ht="18.75" x14ac:dyDescent="0.3">
      <c r="A263" s="604"/>
      <c r="B263" s="604"/>
      <c r="C263" s="604"/>
      <c r="D263" s="604"/>
      <c r="E263" s="604"/>
      <c r="F263" s="604"/>
      <c r="G263" s="604"/>
      <c r="H263" s="604"/>
      <c r="I263" s="604"/>
      <c r="J263" s="604"/>
      <c r="K263" s="604"/>
      <c r="L263" s="604"/>
      <c r="M263" s="604"/>
    </row>
    <row r="264" spans="1:13" ht="18.75" x14ac:dyDescent="0.3">
      <c r="A264" s="604"/>
      <c r="B264" s="604"/>
      <c r="C264" s="604"/>
      <c r="D264" s="604"/>
      <c r="E264" s="604"/>
      <c r="F264" s="604"/>
      <c r="G264" s="604"/>
      <c r="H264" s="604"/>
      <c r="I264" s="604"/>
      <c r="J264" s="604"/>
      <c r="K264" s="604"/>
      <c r="L264" s="604"/>
      <c r="M264" s="604"/>
    </row>
    <row r="265" spans="1:13" ht="18.75" x14ac:dyDescent="0.3">
      <c r="A265" s="604"/>
      <c r="B265" s="604"/>
      <c r="C265" s="604"/>
      <c r="D265" s="604"/>
      <c r="E265" s="604"/>
      <c r="F265" s="604"/>
      <c r="G265" s="604"/>
      <c r="H265" s="604"/>
      <c r="I265" s="604"/>
      <c r="J265" s="604"/>
      <c r="K265" s="604"/>
      <c r="L265" s="604"/>
      <c r="M265" s="604"/>
    </row>
    <row r="266" spans="1:13" ht="18.75" x14ac:dyDescent="0.3">
      <c r="A266" s="604"/>
      <c r="B266" s="604"/>
      <c r="C266" s="604"/>
      <c r="D266" s="604"/>
      <c r="E266" s="604"/>
      <c r="F266" s="604"/>
      <c r="G266" s="604"/>
      <c r="H266" s="604"/>
      <c r="I266" s="604"/>
      <c r="J266" s="604"/>
      <c r="K266" s="604"/>
      <c r="L266" s="604"/>
      <c r="M266" s="604"/>
    </row>
    <row r="267" spans="1:13" ht="18.75" x14ac:dyDescent="0.3">
      <c r="A267" s="604"/>
      <c r="B267" s="604"/>
      <c r="C267" s="604"/>
      <c r="D267" s="604"/>
      <c r="E267" s="604"/>
      <c r="F267" s="604"/>
      <c r="G267" s="604"/>
      <c r="H267" s="604"/>
      <c r="I267" s="604"/>
      <c r="J267" s="604"/>
      <c r="K267" s="604"/>
      <c r="L267" s="604"/>
      <c r="M267" s="604"/>
    </row>
    <row r="268" spans="1:13" ht="18.75" x14ac:dyDescent="0.3">
      <c r="A268" s="604"/>
      <c r="B268" s="604"/>
      <c r="C268" s="604"/>
      <c r="D268" s="604"/>
      <c r="E268" s="604"/>
      <c r="F268" s="604"/>
      <c r="G268" s="604"/>
      <c r="H268" s="604"/>
      <c r="I268" s="604"/>
      <c r="J268" s="604"/>
      <c r="K268" s="604"/>
      <c r="L268" s="604"/>
      <c r="M268" s="604"/>
    </row>
    <row r="269" spans="1:13" ht="18.75" x14ac:dyDescent="0.3">
      <c r="A269" s="604"/>
      <c r="B269" s="604"/>
      <c r="C269" s="604"/>
      <c r="D269" s="604"/>
      <c r="E269" s="604"/>
      <c r="F269" s="604"/>
      <c r="G269" s="604"/>
      <c r="H269" s="604"/>
      <c r="I269" s="604"/>
      <c r="J269" s="604"/>
      <c r="K269" s="604"/>
      <c r="L269" s="604"/>
      <c r="M269" s="604"/>
    </row>
    <row r="270" spans="1:13" ht="18.75" x14ac:dyDescent="0.3">
      <c r="A270" s="604"/>
      <c r="B270" s="604"/>
      <c r="C270" s="604"/>
      <c r="D270" s="604"/>
      <c r="E270" s="604"/>
      <c r="F270" s="604"/>
      <c r="G270" s="604"/>
      <c r="H270" s="604"/>
      <c r="I270" s="604"/>
      <c r="J270" s="604"/>
      <c r="K270" s="604"/>
      <c r="L270" s="604"/>
      <c r="M270" s="604"/>
    </row>
    <row r="271" spans="1:13" ht="18.75" x14ac:dyDescent="0.3">
      <c r="A271" s="604"/>
      <c r="B271" s="604"/>
      <c r="C271" s="604"/>
      <c r="D271" s="604"/>
      <c r="E271" s="604"/>
      <c r="F271" s="604"/>
      <c r="G271" s="604"/>
      <c r="H271" s="604"/>
      <c r="I271" s="604"/>
      <c r="J271" s="604"/>
      <c r="K271" s="604"/>
      <c r="L271" s="604"/>
      <c r="M271" s="604"/>
    </row>
    <row r="272" spans="1:13" ht="18.75" x14ac:dyDescent="0.3">
      <c r="A272" s="604"/>
      <c r="B272" s="604"/>
      <c r="C272" s="604"/>
      <c r="D272" s="604"/>
      <c r="E272" s="604"/>
      <c r="F272" s="604"/>
      <c r="G272" s="604"/>
      <c r="H272" s="604"/>
      <c r="I272" s="604"/>
      <c r="J272" s="604"/>
      <c r="K272" s="604"/>
      <c r="L272" s="604"/>
      <c r="M272" s="604"/>
    </row>
    <row r="273" spans="1:13" ht="18.75" x14ac:dyDescent="0.3">
      <c r="A273" s="604"/>
      <c r="B273" s="604"/>
      <c r="C273" s="604"/>
      <c r="D273" s="604"/>
      <c r="E273" s="604"/>
      <c r="F273" s="604"/>
      <c r="G273" s="604"/>
      <c r="H273" s="604"/>
      <c r="I273" s="604"/>
      <c r="J273" s="604"/>
      <c r="K273" s="604"/>
      <c r="L273" s="604"/>
      <c r="M273" s="604"/>
    </row>
    <row r="274" spans="1:13" ht="18.75" x14ac:dyDescent="0.3">
      <c r="A274" s="604"/>
      <c r="B274" s="604"/>
      <c r="C274" s="604"/>
      <c r="D274" s="604"/>
      <c r="E274" s="604"/>
      <c r="F274" s="604"/>
      <c r="G274" s="604"/>
      <c r="H274" s="604"/>
      <c r="I274" s="604"/>
      <c r="J274" s="604"/>
      <c r="K274" s="604"/>
      <c r="L274" s="604"/>
      <c r="M274" s="604"/>
    </row>
    <row r="275" spans="1:13" ht="18.75" x14ac:dyDescent="0.3">
      <c r="A275" s="604"/>
      <c r="B275" s="604"/>
      <c r="C275" s="604"/>
      <c r="D275" s="604"/>
      <c r="E275" s="604"/>
      <c r="F275" s="604"/>
      <c r="G275" s="604"/>
      <c r="H275" s="604"/>
      <c r="I275" s="604"/>
      <c r="J275" s="604"/>
      <c r="K275" s="604"/>
      <c r="L275" s="604"/>
      <c r="M275" s="604"/>
    </row>
    <row r="276" spans="1:13" ht="18.75" x14ac:dyDescent="0.3">
      <c r="A276" s="604"/>
      <c r="B276" s="604"/>
      <c r="C276" s="604"/>
      <c r="D276" s="604"/>
      <c r="E276" s="604"/>
      <c r="F276" s="604"/>
      <c r="G276" s="604"/>
      <c r="H276" s="604"/>
      <c r="I276" s="604"/>
      <c r="J276" s="604"/>
      <c r="K276" s="604"/>
      <c r="L276" s="604"/>
      <c r="M276" s="604"/>
    </row>
    <row r="277" spans="1:13" ht="18.75" x14ac:dyDescent="0.3">
      <c r="A277" s="604"/>
      <c r="B277" s="604"/>
      <c r="C277" s="604"/>
      <c r="D277" s="604"/>
      <c r="E277" s="604"/>
      <c r="F277" s="604"/>
      <c r="G277" s="604"/>
      <c r="H277" s="604"/>
      <c r="I277" s="604"/>
      <c r="J277" s="604"/>
      <c r="K277" s="604"/>
      <c r="L277" s="604"/>
      <c r="M277" s="604"/>
    </row>
    <row r="278" spans="1:13" ht="18.75" x14ac:dyDescent="0.3">
      <c r="A278" s="604"/>
      <c r="B278" s="604"/>
      <c r="C278" s="604"/>
      <c r="D278" s="604"/>
      <c r="E278" s="604"/>
      <c r="F278" s="604"/>
      <c r="G278" s="604"/>
      <c r="H278" s="604"/>
      <c r="I278" s="604"/>
      <c r="J278" s="604"/>
      <c r="K278" s="604"/>
      <c r="L278" s="604"/>
      <c r="M278" s="604"/>
    </row>
    <row r="279" spans="1:13" ht="18.75" x14ac:dyDescent="0.3">
      <c r="A279" s="604"/>
      <c r="B279" s="604"/>
      <c r="C279" s="604"/>
      <c r="D279" s="604"/>
      <c r="E279" s="604"/>
      <c r="F279" s="604"/>
      <c r="G279" s="604"/>
      <c r="H279" s="604"/>
      <c r="I279" s="604"/>
      <c r="J279" s="604"/>
      <c r="K279" s="604"/>
      <c r="L279" s="604"/>
      <c r="M279" s="604"/>
    </row>
    <row r="280" spans="1:13" ht="18.75" x14ac:dyDescent="0.3">
      <c r="A280" s="604"/>
      <c r="B280" s="604"/>
      <c r="C280" s="604"/>
      <c r="D280" s="604"/>
      <c r="E280" s="604"/>
      <c r="F280" s="604"/>
      <c r="G280" s="604"/>
      <c r="H280" s="604"/>
      <c r="I280" s="604"/>
      <c r="J280" s="604"/>
      <c r="K280" s="604"/>
      <c r="L280" s="604"/>
      <c r="M280" s="604"/>
    </row>
    <row r="281" spans="1:13" ht="18.75" x14ac:dyDescent="0.3">
      <c r="A281" s="604"/>
      <c r="B281" s="604"/>
      <c r="C281" s="604"/>
      <c r="D281" s="604"/>
      <c r="E281" s="604"/>
      <c r="F281" s="604"/>
      <c r="G281" s="604"/>
      <c r="H281" s="604"/>
      <c r="I281" s="604"/>
      <c r="J281" s="604"/>
      <c r="K281" s="604"/>
      <c r="L281" s="604"/>
      <c r="M281" s="604"/>
    </row>
    <row r="282" spans="1:13" ht="18.75" x14ac:dyDescent="0.3">
      <c r="A282" s="604"/>
      <c r="B282" s="604"/>
      <c r="C282" s="604"/>
      <c r="D282" s="604"/>
      <c r="E282" s="604"/>
      <c r="F282" s="604"/>
      <c r="G282" s="604"/>
      <c r="H282" s="604"/>
      <c r="I282" s="604"/>
      <c r="J282" s="604"/>
      <c r="K282" s="604"/>
      <c r="L282" s="604"/>
      <c r="M282" s="604"/>
    </row>
    <row r="283" spans="1:13" ht="18.75" x14ac:dyDescent="0.3">
      <c r="A283" s="604"/>
      <c r="B283" s="604"/>
      <c r="C283" s="604"/>
      <c r="D283" s="604"/>
      <c r="E283" s="604"/>
      <c r="F283" s="604"/>
      <c r="G283" s="604"/>
      <c r="H283" s="604"/>
      <c r="I283" s="604"/>
      <c r="J283" s="604"/>
      <c r="K283" s="604"/>
      <c r="L283" s="604"/>
      <c r="M283" s="604"/>
    </row>
    <row r="284" spans="1:13" ht="18.75" x14ac:dyDescent="0.3">
      <c r="A284" s="604"/>
      <c r="B284" s="604"/>
      <c r="C284" s="604"/>
      <c r="D284" s="604"/>
      <c r="E284" s="604"/>
      <c r="F284" s="604"/>
      <c r="G284" s="604"/>
      <c r="H284" s="604"/>
      <c r="I284" s="604"/>
      <c r="J284" s="604"/>
      <c r="K284" s="604"/>
      <c r="L284" s="604"/>
      <c r="M284" s="604"/>
    </row>
    <row r="285" spans="1:13" ht="18.75" x14ac:dyDescent="0.3">
      <c r="A285" s="604"/>
      <c r="B285" s="604"/>
      <c r="C285" s="604"/>
      <c r="D285" s="604"/>
      <c r="E285" s="604"/>
      <c r="F285" s="604"/>
      <c r="G285" s="604"/>
      <c r="H285" s="604"/>
      <c r="I285" s="604"/>
      <c r="J285" s="604"/>
      <c r="K285" s="604"/>
      <c r="L285" s="604"/>
      <c r="M285" s="604"/>
    </row>
    <row r="286" spans="1:13" ht="18.75" x14ac:dyDescent="0.3">
      <c r="A286" s="604"/>
      <c r="B286" s="604"/>
      <c r="C286" s="604"/>
      <c r="D286" s="604"/>
      <c r="E286" s="604"/>
      <c r="F286" s="604"/>
      <c r="G286" s="604"/>
      <c r="H286" s="604"/>
      <c r="I286" s="604"/>
      <c r="J286" s="604"/>
      <c r="K286" s="604"/>
      <c r="L286" s="604"/>
      <c r="M286" s="604"/>
    </row>
    <row r="287" spans="1:13" ht="18.75" x14ac:dyDescent="0.3">
      <c r="A287" s="604"/>
      <c r="B287" s="604"/>
      <c r="C287" s="604"/>
      <c r="D287" s="604"/>
      <c r="E287" s="604"/>
      <c r="F287" s="604"/>
      <c r="G287" s="604"/>
      <c r="H287" s="604"/>
      <c r="I287" s="604"/>
      <c r="J287" s="604"/>
      <c r="K287" s="604"/>
      <c r="L287" s="604"/>
      <c r="M287" s="604"/>
    </row>
    <row r="288" spans="1:13" ht="18.75" x14ac:dyDescent="0.3">
      <c r="A288" s="604"/>
      <c r="B288" s="604"/>
      <c r="C288" s="604"/>
      <c r="D288" s="604"/>
      <c r="E288" s="604"/>
      <c r="F288" s="604"/>
      <c r="G288" s="604"/>
      <c r="H288" s="604"/>
      <c r="I288" s="604"/>
      <c r="J288" s="604"/>
      <c r="K288" s="604"/>
      <c r="L288" s="604"/>
      <c r="M288" s="604"/>
    </row>
    <row r="289" spans="1:13" ht="18.75" x14ac:dyDescent="0.3">
      <c r="A289" s="604"/>
      <c r="B289" s="604"/>
      <c r="C289" s="604"/>
      <c r="D289" s="604"/>
      <c r="E289" s="604"/>
      <c r="F289" s="604"/>
      <c r="G289" s="604"/>
      <c r="H289" s="604"/>
      <c r="I289" s="604"/>
      <c r="J289" s="604"/>
      <c r="K289" s="604"/>
      <c r="L289" s="604"/>
      <c r="M289" s="604"/>
    </row>
    <row r="290" spans="1:13" ht="18.75" x14ac:dyDescent="0.3">
      <c r="A290" s="604"/>
      <c r="B290" s="604"/>
      <c r="C290" s="604"/>
      <c r="D290" s="604"/>
      <c r="E290" s="604"/>
      <c r="F290" s="604"/>
      <c r="G290" s="604"/>
      <c r="H290" s="604"/>
      <c r="I290" s="604"/>
      <c r="J290" s="604"/>
      <c r="K290" s="604"/>
      <c r="L290" s="604"/>
      <c r="M290" s="604"/>
    </row>
    <row r="291" spans="1:13" ht="18.75" x14ac:dyDescent="0.3">
      <c r="A291" s="604"/>
      <c r="B291" s="604"/>
      <c r="C291" s="604"/>
      <c r="D291" s="604"/>
      <c r="E291" s="604"/>
      <c r="F291" s="604"/>
      <c r="G291" s="604"/>
      <c r="H291" s="604"/>
      <c r="I291" s="604"/>
      <c r="J291" s="604"/>
      <c r="K291" s="604"/>
      <c r="L291" s="604"/>
      <c r="M291" s="604"/>
    </row>
    <row r="292" spans="1:13" ht="18.75" x14ac:dyDescent="0.3">
      <c r="A292" s="604"/>
      <c r="B292" s="604"/>
      <c r="C292" s="604"/>
      <c r="D292" s="604"/>
      <c r="E292" s="604"/>
      <c r="F292" s="604"/>
      <c r="G292" s="604"/>
      <c r="H292" s="604"/>
      <c r="I292" s="604"/>
      <c r="J292" s="604"/>
      <c r="K292" s="604"/>
      <c r="L292" s="604"/>
      <c r="M292" s="604"/>
    </row>
    <row r="293" spans="1:13" ht="18.75" x14ac:dyDescent="0.3">
      <c r="A293" s="604"/>
      <c r="B293" s="604"/>
      <c r="C293" s="604"/>
      <c r="D293" s="604"/>
      <c r="E293" s="604"/>
      <c r="F293" s="604"/>
      <c r="G293" s="604"/>
      <c r="H293" s="604"/>
      <c r="I293" s="604"/>
      <c r="J293" s="604"/>
      <c r="K293" s="604"/>
      <c r="L293" s="604"/>
      <c r="M293" s="604"/>
    </row>
    <row r="294" spans="1:13" ht="18.75" x14ac:dyDescent="0.3">
      <c r="A294" s="604"/>
      <c r="B294" s="604"/>
      <c r="C294" s="604"/>
      <c r="D294" s="604"/>
      <c r="E294" s="604"/>
      <c r="F294" s="604"/>
      <c r="G294" s="604"/>
      <c r="H294" s="604"/>
      <c r="I294" s="604"/>
      <c r="J294" s="604"/>
      <c r="K294" s="604"/>
      <c r="L294" s="604"/>
      <c r="M294" s="604"/>
    </row>
    <row r="295" spans="1:13" ht="18.75" x14ac:dyDescent="0.3">
      <c r="A295" s="604"/>
      <c r="B295" s="604"/>
      <c r="C295" s="604"/>
      <c r="D295" s="604"/>
      <c r="E295" s="604"/>
      <c r="F295" s="604"/>
      <c r="G295" s="604"/>
      <c r="H295" s="604"/>
      <c r="I295" s="604"/>
      <c r="J295" s="604"/>
      <c r="K295" s="604"/>
      <c r="L295" s="604"/>
      <c r="M295" s="604"/>
    </row>
    <row r="296" spans="1:13" ht="18.75" x14ac:dyDescent="0.3">
      <c r="A296" s="604"/>
      <c r="B296" s="604"/>
      <c r="C296" s="604"/>
      <c r="D296" s="604"/>
      <c r="E296" s="604"/>
      <c r="F296" s="604"/>
      <c r="G296" s="604"/>
      <c r="H296" s="604"/>
      <c r="I296" s="604"/>
      <c r="J296" s="604"/>
      <c r="K296" s="604"/>
      <c r="L296" s="604"/>
      <c r="M296" s="604"/>
    </row>
    <row r="297" spans="1:13" ht="18.75" x14ac:dyDescent="0.3">
      <c r="A297" s="604"/>
      <c r="B297" s="604"/>
      <c r="C297" s="604"/>
      <c r="D297" s="604"/>
      <c r="E297" s="604"/>
      <c r="F297" s="604"/>
      <c r="G297" s="604"/>
      <c r="H297" s="604"/>
      <c r="I297" s="604"/>
      <c r="J297" s="604"/>
      <c r="K297" s="604"/>
      <c r="L297" s="604"/>
      <c r="M297" s="604"/>
    </row>
    <row r="298" spans="1:13" ht="18.75" x14ac:dyDescent="0.3">
      <c r="A298" s="604"/>
      <c r="B298" s="604"/>
      <c r="C298" s="604"/>
      <c r="D298" s="604"/>
      <c r="E298" s="604"/>
      <c r="F298" s="604"/>
      <c r="G298" s="604"/>
      <c r="H298" s="604"/>
      <c r="I298" s="604"/>
      <c r="J298" s="604"/>
      <c r="K298" s="604"/>
      <c r="L298" s="604"/>
      <c r="M298" s="604"/>
    </row>
    <row r="299" spans="1:13" ht="18.75" x14ac:dyDescent="0.3">
      <c r="A299" s="604"/>
      <c r="B299" s="604"/>
      <c r="C299" s="604"/>
      <c r="D299" s="604"/>
      <c r="E299" s="604"/>
      <c r="F299" s="604"/>
      <c r="G299" s="604"/>
      <c r="H299" s="604"/>
      <c r="I299" s="604"/>
      <c r="J299" s="604"/>
      <c r="K299" s="604"/>
      <c r="L299" s="604"/>
      <c r="M299" s="604"/>
    </row>
    <row r="300" spans="1:13" ht="18.75" x14ac:dyDescent="0.3">
      <c r="A300" s="604"/>
      <c r="B300" s="604"/>
      <c r="C300" s="604"/>
      <c r="D300" s="604"/>
      <c r="E300" s="604"/>
      <c r="F300" s="604"/>
      <c r="G300" s="604"/>
      <c r="H300" s="604"/>
      <c r="I300" s="604"/>
      <c r="J300" s="604"/>
      <c r="K300" s="604"/>
      <c r="L300" s="604"/>
      <c r="M300" s="604"/>
    </row>
    <row r="301" spans="1:13" ht="18.75" x14ac:dyDescent="0.3">
      <c r="A301" s="604"/>
      <c r="B301" s="604"/>
      <c r="C301" s="604"/>
      <c r="D301" s="604"/>
      <c r="E301" s="604"/>
      <c r="F301" s="604"/>
      <c r="G301" s="604"/>
      <c r="H301" s="604"/>
      <c r="I301" s="604"/>
      <c r="J301" s="604"/>
      <c r="K301" s="604"/>
      <c r="L301" s="604"/>
      <c r="M301" s="604"/>
    </row>
    <row r="302" spans="1:13" ht="18.75" x14ac:dyDescent="0.3">
      <c r="A302" s="604"/>
      <c r="B302" s="604"/>
      <c r="C302" s="604"/>
      <c r="D302" s="604"/>
      <c r="E302" s="604"/>
      <c r="F302" s="604"/>
      <c r="G302" s="604"/>
      <c r="H302" s="604"/>
      <c r="I302" s="604"/>
      <c r="J302" s="604"/>
      <c r="K302" s="604"/>
      <c r="L302" s="604"/>
      <c r="M302" s="604"/>
    </row>
    <row r="303" spans="1:13" ht="18.75" x14ac:dyDescent="0.3">
      <c r="A303" s="604"/>
      <c r="B303" s="604"/>
      <c r="C303" s="604"/>
      <c r="D303" s="604"/>
      <c r="E303" s="604"/>
      <c r="F303" s="604"/>
      <c r="G303" s="604"/>
      <c r="H303" s="604"/>
      <c r="I303" s="604"/>
      <c r="J303" s="604"/>
      <c r="K303" s="604"/>
      <c r="L303" s="604"/>
      <c r="M303" s="604"/>
    </row>
    <row r="304" spans="1:13" ht="18.75" x14ac:dyDescent="0.3">
      <c r="A304" s="604"/>
      <c r="B304" s="604"/>
      <c r="C304" s="604"/>
      <c r="D304" s="604"/>
      <c r="E304" s="604"/>
      <c r="F304" s="604"/>
      <c r="G304" s="604"/>
      <c r="H304" s="604"/>
      <c r="I304" s="604"/>
      <c r="J304" s="604"/>
      <c r="K304" s="604"/>
      <c r="L304" s="604"/>
      <c r="M304" s="604"/>
    </row>
    <row r="305" spans="1:13" ht="18.75" x14ac:dyDescent="0.3">
      <c r="A305" s="604"/>
      <c r="B305" s="604"/>
      <c r="C305" s="604"/>
      <c r="D305" s="604"/>
      <c r="E305" s="604"/>
      <c r="F305" s="604"/>
      <c r="G305" s="604"/>
      <c r="H305" s="604"/>
      <c r="I305" s="604"/>
      <c r="J305" s="604"/>
      <c r="K305" s="604"/>
      <c r="L305" s="604"/>
      <c r="M305" s="604"/>
    </row>
    <row r="306" spans="1:13" ht="18.75" x14ac:dyDescent="0.3">
      <c r="A306" s="604"/>
      <c r="B306" s="604"/>
      <c r="C306" s="604"/>
      <c r="D306" s="604"/>
      <c r="E306" s="604"/>
      <c r="F306" s="604"/>
      <c r="G306" s="604"/>
      <c r="H306" s="604"/>
      <c r="I306" s="604"/>
      <c r="J306" s="604"/>
      <c r="K306" s="604"/>
      <c r="L306" s="604"/>
      <c r="M306" s="604"/>
    </row>
    <row r="307" spans="1:13" ht="18.75" x14ac:dyDescent="0.3">
      <c r="A307" s="604"/>
      <c r="B307" s="604"/>
      <c r="C307" s="604"/>
      <c r="D307" s="604"/>
      <c r="E307" s="604"/>
      <c r="F307" s="604"/>
      <c r="G307" s="604"/>
      <c r="H307" s="604"/>
      <c r="I307" s="604"/>
      <c r="J307" s="604"/>
      <c r="K307" s="604"/>
      <c r="L307" s="604"/>
      <c r="M307" s="604"/>
    </row>
    <row r="308" spans="1:13" ht="18.75" x14ac:dyDescent="0.3">
      <c r="A308" s="604"/>
      <c r="B308" s="604"/>
      <c r="C308" s="604"/>
      <c r="D308" s="604"/>
      <c r="E308" s="604"/>
      <c r="F308" s="604"/>
      <c r="G308" s="604"/>
      <c r="H308" s="604"/>
      <c r="I308" s="604"/>
      <c r="J308" s="604"/>
      <c r="K308" s="604"/>
      <c r="L308" s="604"/>
      <c r="M308" s="604"/>
    </row>
    <row r="309" spans="1:13" ht="18.75" x14ac:dyDescent="0.3">
      <c r="A309" s="604"/>
      <c r="B309" s="604"/>
      <c r="C309" s="604"/>
      <c r="D309" s="604"/>
      <c r="E309" s="604"/>
      <c r="F309" s="604"/>
      <c r="G309" s="604"/>
      <c r="H309" s="604"/>
      <c r="I309" s="604"/>
      <c r="J309" s="604"/>
      <c r="K309" s="604"/>
      <c r="L309" s="604"/>
      <c r="M309" s="604"/>
    </row>
    <row r="310" spans="1:13" ht="18.75" x14ac:dyDescent="0.3">
      <c r="A310" s="604"/>
      <c r="B310" s="604"/>
      <c r="C310" s="604"/>
      <c r="D310" s="604"/>
      <c r="E310" s="604"/>
      <c r="F310" s="604"/>
      <c r="G310" s="604"/>
      <c r="H310" s="604"/>
      <c r="I310" s="604"/>
      <c r="J310" s="604"/>
      <c r="K310" s="604"/>
      <c r="L310" s="604"/>
      <c r="M310" s="604"/>
    </row>
    <row r="311" spans="1:13" ht="18.75" x14ac:dyDescent="0.3">
      <c r="A311" s="604"/>
      <c r="B311" s="604"/>
      <c r="C311" s="604"/>
      <c r="D311" s="604"/>
      <c r="E311" s="604"/>
      <c r="F311" s="604"/>
      <c r="G311" s="604"/>
      <c r="H311" s="604"/>
      <c r="I311" s="604"/>
      <c r="J311" s="604"/>
      <c r="K311" s="604"/>
      <c r="L311" s="604"/>
      <c r="M311" s="604"/>
    </row>
    <row r="312" spans="1:13" ht="18.75" x14ac:dyDescent="0.3">
      <c r="A312" s="604"/>
      <c r="B312" s="604"/>
      <c r="C312" s="604"/>
      <c r="D312" s="604"/>
      <c r="E312" s="604"/>
      <c r="F312" s="604"/>
      <c r="G312" s="604"/>
      <c r="H312" s="604"/>
      <c r="I312" s="604"/>
      <c r="J312" s="604"/>
      <c r="K312" s="604"/>
      <c r="L312" s="604"/>
      <c r="M312" s="604"/>
    </row>
    <row r="313" spans="1:13" ht="18.75" x14ac:dyDescent="0.3">
      <c r="A313" s="604"/>
      <c r="B313" s="604"/>
      <c r="C313" s="604"/>
      <c r="D313" s="604"/>
      <c r="E313" s="604"/>
      <c r="F313" s="604"/>
      <c r="G313" s="604"/>
      <c r="H313" s="604"/>
      <c r="I313" s="604"/>
      <c r="J313" s="604"/>
      <c r="K313" s="604"/>
      <c r="L313" s="604"/>
      <c r="M313" s="604"/>
    </row>
    <row r="314" spans="1:13" ht="18.75" x14ac:dyDescent="0.3">
      <c r="A314" s="604"/>
      <c r="B314" s="604"/>
      <c r="C314" s="604"/>
      <c r="D314" s="604"/>
      <c r="E314" s="604"/>
      <c r="F314" s="604"/>
      <c r="G314" s="604"/>
      <c r="H314" s="604"/>
      <c r="I314" s="604"/>
      <c r="J314" s="604"/>
      <c r="K314" s="604"/>
      <c r="L314" s="604"/>
      <c r="M314" s="604"/>
    </row>
    <row r="315" spans="1:13" ht="18.75" x14ac:dyDescent="0.3">
      <c r="A315" s="604"/>
      <c r="B315" s="604"/>
      <c r="C315" s="604"/>
      <c r="D315" s="604"/>
      <c r="E315" s="604"/>
      <c r="F315" s="604"/>
      <c r="G315" s="604"/>
      <c r="H315" s="604"/>
      <c r="I315" s="604"/>
      <c r="J315" s="604"/>
      <c r="K315" s="604"/>
      <c r="L315" s="604"/>
      <c r="M315" s="604"/>
    </row>
    <row r="316" spans="1:13" ht="18.75" x14ac:dyDescent="0.3">
      <c r="A316" s="604"/>
      <c r="B316" s="604"/>
      <c r="C316" s="604"/>
      <c r="D316" s="604"/>
      <c r="E316" s="604"/>
      <c r="F316" s="604"/>
      <c r="G316" s="604"/>
      <c r="H316" s="604"/>
      <c r="I316" s="604"/>
      <c r="J316" s="604"/>
      <c r="K316" s="604"/>
      <c r="L316" s="604"/>
      <c r="M316" s="604"/>
    </row>
    <row r="317" spans="1:13" ht="18.75" x14ac:dyDescent="0.3">
      <c r="A317" s="604"/>
      <c r="B317" s="604"/>
      <c r="C317" s="604"/>
      <c r="D317" s="604"/>
      <c r="E317" s="604"/>
      <c r="F317" s="604"/>
      <c r="G317" s="604"/>
      <c r="H317" s="604"/>
      <c r="I317" s="604"/>
      <c r="J317" s="604"/>
      <c r="K317" s="604"/>
      <c r="L317" s="604"/>
      <c r="M317" s="604"/>
    </row>
    <row r="318" spans="1:13" ht="18.75" x14ac:dyDescent="0.3">
      <c r="A318" s="604"/>
      <c r="B318" s="604"/>
      <c r="C318" s="604"/>
      <c r="D318" s="604"/>
      <c r="E318" s="604"/>
      <c r="F318" s="604"/>
      <c r="G318" s="604"/>
      <c r="H318" s="604"/>
      <c r="I318" s="604"/>
      <c r="J318" s="604"/>
      <c r="K318" s="604"/>
      <c r="L318" s="604"/>
      <c r="M318" s="604"/>
    </row>
    <row r="319" spans="1:13" ht="18.75" x14ac:dyDescent="0.3">
      <c r="A319" s="604"/>
      <c r="B319" s="604"/>
      <c r="C319" s="604"/>
      <c r="D319" s="604"/>
      <c r="E319" s="604"/>
      <c r="F319" s="604"/>
      <c r="G319" s="604"/>
      <c r="H319" s="604"/>
      <c r="I319" s="604"/>
      <c r="J319" s="604"/>
      <c r="K319" s="604"/>
      <c r="L319" s="604"/>
      <c r="M319" s="604"/>
    </row>
    <row r="320" spans="1:13" ht="18.75" x14ac:dyDescent="0.3">
      <c r="A320" s="604"/>
      <c r="B320" s="604"/>
      <c r="C320" s="604"/>
      <c r="D320" s="604"/>
      <c r="E320" s="604"/>
      <c r="F320" s="604"/>
      <c r="G320" s="604"/>
      <c r="H320" s="604"/>
      <c r="I320" s="604"/>
      <c r="J320" s="604"/>
      <c r="K320" s="604"/>
      <c r="L320" s="604"/>
      <c r="M320" s="604"/>
    </row>
    <row r="321" spans="1:13" ht="18.75" x14ac:dyDescent="0.3">
      <c r="A321" s="604"/>
      <c r="B321" s="604"/>
      <c r="C321" s="604"/>
      <c r="D321" s="604"/>
      <c r="E321" s="604"/>
      <c r="F321" s="604"/>
      <c r="G321" s="604"/>
      <c r="H321" s="604"/>
      <c r="I321" s="604"/>
      <c r="J321" s="604"/>
      <c r="K321" s="604"/>
      <c r="L321" s="604"/>
      <c r="M321" s="604"/>
    </row>
    <row r="322" spans="1:13" ht="18.75" x14ac:dyDescent="0.3">
      <c r="A322" s="604"/>
      <c r="B322" s="604"/>
      <c r="C322" s="604"/>
      <c r="D322" s="604"/>
      <c r="E322" s="604"/>
      <c r="F322" s="604"/>
      <c r="G322" s="604"/>
      <c r="H322" s="604"/>
      <c r="I322" s="604"/>
      <c r="J322" s="604"/>
      <c r="K322" s="604"/>
      <c r="L322" s="604"/>
      <c r="M322" s="604"/>
    </row>
    <row r="323" spans="1:13" ht="18.75" x14ac:dyDescent="0.3">
      <c r="A323" s="604"/>
      <c r="B323" s="604"/>
      <c r="C323" s="604"/>
      <c r="D323" s="604"/>
      <c r="E323" s="604"/>
      <c r="F323" s="604"/>
      <c r="G323" s="604"/>
      <c r="H323" s="604"/>
      <c r="I323" s="604"/>
      <c r="J323" s="604"/>
      <c r="K323" s="604"/>
      <c r="L323" s="604"/>
      <c r="M323" s="604"/>
    </row>
    <row r="324" spans="1:13" ht="18.75" x14ac:dyDescent="0.3">
      <c r="A324" s="604"/>
      <c r="B324" s="604"/>
      <c r="C324" s="604"/>
      <c r="D324" s="604"/>
      <c r="E324" s="604"/>
      <c r="F324" s="604"/>
      <c r="G324" s="604"/>
      <c r="H324" s="604"/>
      <c r="I324" s="604"/>
      <c r="J324" s="604"/>
      <c r="K324" s="604"/>
      <c r="L324" s="604"/>
      <c r="M324" s="604"/>
    </row>
    <row r="325" spans="1:13" ht="18.75" x14ac:dyDescent="0.3">
      <c r="A325" s="604"/>
      <c r="B325" s="604"/>
      <c r="C325" s="604"/>
      <c r="D325" s="604"/>
      <c r="E325" s="604"/>
      <c r="F325" s="604"/>
      <c r="G325" s="604"/>
      <c r="H325" s="604"/>
      <c r="I325" s="604"/>
      <c r="J325" s="604"/>
      <c r="K325" s="604"/>
      <c r="L325" s="604"/>
      <c r="M325" s="604"/>
    </row>
    <row r="326" spans="1:13" ht="18.75" x14ac:dyDescent="0.3">
      <c r="A326" s="604"/>
      <c r="B326" s="604"/>
      <c r="C326" s="604"/>
      <c r="D326" s="604"/>
      <c r="E326" s="604"/>
      <c r="F326" s="604"/>
      <c r="G326" s="604"/>
      <c r="H326" s="604"/>
      <c r="I326" s="604"/>
      <c r="J326" s="604"/>
      <c r="K326" s="604"/>
      <c r="L326" s="604"/>
      <c r="M326" s="604"/>
    </row>
    <row r="327" spans="1:13" ht="18.75" x14ac:dyDescent="0.3">
      <c r="A327" s="604"/>
      <c r="B327" s="604"/>
      <c r="C327" s="604"/>
      <c r="D327" s="604"/>
      <c r="E327" s="604"/>
      <c r="F327" s="604"/>
      <c r="G327" s="604"/>
      <c r="H327" s="604"/>
      <c r="I327" s="604"/>
      <c r="J327" s="604"/>
      <c r="K327" s="604"/>
      <c r="L327" s="604"/>
      <c r="M327" s="604"/>
    </row>
    <row r="328" spans="1:13" ht="18.75" x14ac:dyDescent="0.3">
      <c r="A328" s="604"/>
      <c r="B328" s="604"/>
      <c r="C328" s="604"/>
      <c r="D328" s="604"/>
      <c r="E328" s="604"/>
      <c r="F328" s="604"/>
      <c r="G328" s="604"/>
      <c r="H328" s="604"/>
      <c r="I328" s="604"/>
      <c r="J328" s="604"/>
      <c r="K328" s="604"/>
      <c r="L328" s="604"/>
      <c r="M328" s="604"/>
    </row>
    <row r="329" spans="1:13" ht="18.75" x14ac:dyDescent="0.3">
      <c r="A329" s="604"/>
      <c r="B329" s="604"/>
      <c r="C329" s="604"/>
      <c r="D329" s="604"/>
      <c r="E329" s="604"/>
      <c r="F329" s="604"/>
      <c r="G329" s="604"/>
      <c r="H329" s="604"/>
      <c r="I329" s="604"/>
      <c r="J329" s="604"/>
      <c r="K329" s="604"/>
      <c r="L329" s="604"/>
      <c r="M329" s="604"/>
    </row>
    <row r="330" spans="1:13" ht="18.75" x14ac:dyDescent="0.3">
      <c r="A330" s="604"/>
      <c r="B330" s="604"/>
      <c r="C330" s="604"/>
      <c r="D330" s="604"/>
      <c r="E330" s="604"/>
      <c r="F330" s="604"/>
      <c r="G330" s="604"/>
      <c r="H330" s="604"/>
      <c r="I330" s="604"/>
      <c r="J330" s="604"/>
      <c r="K330" s="604"/>
      <c r="L330" s="604"/>
      <c r="M330" s="604"/>
    </row>
    <row r="331" spans="1:13" ht="18.75" x14ac:dyDescent="0.3">
      <c r="A331" s="604"/>
      <c r="B331" s="604"/>
      <c r="C331" s="604"/>
      <c r="D331" s="604"/>
      <c r="E331" s="604"/>
      <c r="F331" s="604"/>
      <c r="G331" s="604"/>
      <c r="H331" s="604"/>
      <c r="I331" s="604"/>
      <c r="J331" s="604"/>
      <c r="K331" s="604"/>
      <c r="L331" s="604"/>
      <c r="M331" s="604"/>
    </row>
    <row r="332" spans="1:13" ht="18.75" x14ac:dyDescent="0.3">
      <c r="A332" s="604"/>
      <c r="B332" s="604"/>
      <c r="C332" s="604"/>
      <c r="D332" s="604"/>
      <c r="E332" s="604"/>
      <c r="F332" s="604"/>
      <c r="G332" s="604"/>
      <c r="H332" s="604"/>
      <c r="I332" s="604"/>
      <c r="J332" s="604"/>
      <c r="K332" s="604"/>
      <c r="L332" s="604"/>
      <c r="M332" s="604"/>
    </row>
    <row r="333" spans="1:13" ht="18.75" x14ac:dyDescent="0.3">
      <c r="A333" s="604"/>
      <c r="B333" s="604"/>
      <c r="C333" s="604"/>
      <c r="D333" s="604"/>
      <c r="E333" s="604"/>
      <c r="F333" s="604"/>
      <c r="G333" s="604"/>
      <c r="H333" s="604"/>
      <c r="I333" s="604"/>
      <c r="J333" s="604"/>
      <c r="K333" s="604"/>
      <c r="L333" s="604"/>
      <c r="M333" s="604"/>
    </row>
    <row r="334" spans="1:13" ht="18.75" x14ac:dyDescent="0.3">
      <c r="A334" s="604"/>
      <c r="B334" s="604"/>
      <c r="C334" s="604"/>
      <c r="D334" s="604"/>
      <c r="E334" s="604"/>
      <c r="F334" s="604"/>
      <c r="G334" s="604"/>
      <c r="H334" s="604"/>
      <c r="I334" s="604"/>
      <c r="J334" s="604"/>
      <c r="K334" s="604"/>
      <c r="L334" s="604"/>
      <c r="M334" s="604"/>
    </row>
    <row r="335" spans="1:13" ht="18.75" x14ac:dyDescent="0.3">
      <c r="A335" s="604"/>
      <c r="B335" s="604"/>
      <c r="C335" s="604"/>
      <c r="D335" s="604"/>
      <c r="E335" s="604"/>
      <c r="F335" s="604"/>
      <c r="G335" s="604"/>
      <c r="H335" s="604"/>
      <c r="I335" s="604"/>
      <c r="J335" s="604"/>
      <c r="K335" s="604"/>
      <c r="L335" s="604"/>
      <c r="M335" s="604"/>
    </row>
    <row r="336" spans="1:13" ht="18.75" x14ac:dyDescent="0.3">
      <c r="A336" s="604"/>
      <c r="B336" s="604"/>
      <c r="C336" s="604"/>
      <c r="D336" s="604"/>
      <c r="E336" s="604"/>
      <c r="F336" s="604"/>
      <c r="G336" s="604"/>
      <c r="H336" s="604"/>
      <c r="I336" s="604"/>
      <c r="J336" s="604"/>
      <c r="K336" s="604"/>
      <c r="L336" s="604"/>
      <c r="M336" s="604"/>
    </row>
    <row r="337" spans="1:13" ht="18.75" x14ac:dyDescent="0.3">
      <c r="A337" s="604"/>
      <c r="B337" s="604"/>
      <c r="C337" s="604"/>
      <c r="D337" s="604"/>
      <c r="E337" s="604"/>
      <c r="F337" s="604"/>
      <c r="G337" s="604"/>
      <c r="H337" s="604"/>
      <c r="I337" s="604"/>
      <c r="J337" s="604"/>
      <c r="K337" s="604"/>
      <c r="L337" s="604"/>
      <c r="M337" s="604"/>
    </row>
    <row r="338" spans="1:13" ht="18.75" x14ac:dyDescent="0.3">
      <c r="A338" s="604"/>
      <c r="B338" s="604"/>
      <c r="C338" s="604"/>
      <c r="D338" s="604"/>
      <c r="E338" s="604"/>
      <c r="F338" s="604"/>
      <c r="G338" s="604"/>
      <c r="H338" s="604"/>
      <c r="I338" s="604"/>
      <c r="J338" s="604"/>
      <c r="K338" s="604"/>
      <c r="L338" s="604"/>
      <c r="M338" s="604"/>
    </row>
    <row r="339" spans="1:13" ht="18.75" x14ac:dyDescent="0.3">
      <c r="A339" s="604"/>
      <c r="B339" s="604"/>
      <c r="C339" s="604"/>
      <c r="D339" s="604"/>
      <c r="E339" s="604"/>
      <c r="F339" s="604"/>
      <c r="G339" s="604"/>
      <c r="H339" s="604"/>
      <c r="I339" s="604"/>
      <c r="J339" s="604"/>
      <c r="K339" s="604"/>
      <c r="L339" s="604"/>
      <c r="M339" s="604"/>
    </row>
    <row r="340" spans="1:13" ht="18.75" x14ac:dyDescent="0.3">
      <c r="A340" s="604"/>
      <c r="B340" s="604"/>
      <c r="C340" s="604"/>
      <c r="D340" s="604"/>
      <c r="E340" s="604"/>
      <c r="F340" s="604"/>
      <c r="G340" s="604"/>
      <c r="H340" s="604"/>
      <c r="I340" s="604"/>
      <c r="J340" s="604"/>
      <c r="K340" s="604"/>
      <c r="L340" s="604"/>
      <c r="M340" s="604"/>
    </row>
    <row r="341" spans="1:13" ht="18.75" x14ac:dyDescent="0.3">
      <c r="A341" s="604"/>
      <c r="B341" s="604"/>
      <c r="C341" s="604"/>
      <c r="D341" s="604"/>
      <c r="E341" s="604"/>
      <c r="F341" s="604"/>
      <c r="G341" s="604"/>
      <c r="H341" s="604"/>
      <c r="I341" s="604"/>
      <c r="J341" s="604"/>
      <c r="K341" s="604"/>
      <c r="L341" s="604"/>
      <c r="M341" s="604"/>
    </row>
    <row r="342" spans="1:13" ht="18.75" x14ac:dyDescent="0.3">
      <c r="A342" s="604"/>
      <c r="B342" s="604"/>
      <c r="C342" s="604"/>
      <c r="D342" s="604"/>
      <c r="E342" s="604"/>
      <c r="F342" s="604"/>
      <c r="G342" s="604"/>
      <c r="H342" s="604"/>
      <c r="I342" s="604"/>
      <c r="J342" s="604"/>
      <c r="K342" s="604"/>
      <c r="L342" s="604"/>
      <c r="M342" s="604"/>
    </row>
    <row r="343" spans="1:13" ht="18.75" x14ac:dyDescent="0.3">
      <c r="A343" s="604"/>
      <c r="B343" s="604"/>
      <c r="C343" s="604"/>
      <c r="D343" s="604"/>
      <c r="E343" s="604"/>
      <c r="F343" s="604"/>
      <c r="G343" s="604"/>
      <c r="H343" s="604"/>
      <c r="I343" s="604"/>
      <c r="J343" s="604"/>
      <c r="K343" s="604"/>
      <c r="L343" s="604"/>
      <c r="M343" s="604"/>
    </row>
    <row r="344" spans="1:13" ht="18.75" x14ac:dyDescent="0.3">
      <c r="A344" s="604"/>
      <c r="B344" s="604"/>
      <c r="C344" s="604"/>
      <c r="D344" s="604"/>
      <c r="E344" s="604"/>
      <c r="F344" s="604"/>
      <c r="G344" s="604"/>
      <c r="H344" s="604"/>
      <c r="I344" s="604"/>
      <c r="J344" s="604"/>
      <c r="K344" s="604"/>
      <c r="L344" s="604"/>
      <c r="M344" s="604"/>
    </row>
    <row r="345" spans="1:13" ht="18.75" x14ac:dyDescent="0.3">
      <c r="A345" s="604"/>
      <c r="B345" s="604"/>
      <c r="C345" s="604"/>
      <c r="D345" s="604"/>
      <c r="E345" s="604"/>
      <c r="F345" s="604"/>
      <c r="G345" s="604"/>
      <c r="H345" s="604"/>
      <c r="I345" s="604"/>
      <c r="J345" s="604"/>
      <c r="K345" s="604"/>
      <c r="L345" s="604"/>
      <c r="M345" s="604"/>
    </row>
    <row r="346" spans="1:13" ht="18.75" x14ac:dyDescent="0.3">
      <c r="A346" s="604"/>
      <c r="B346" s="604"/>
      <c r="C346" s="604"/>
      <c r="D346" s="604"/>
      <c r="E346" s="604"/>
      <c r="F346" s="604"/>
      <c r="G346" s="604"/>
      <c r="H346" s="604"/>
      <c r="I346" s="604"/>
      <c r="J346" s="604"/>
      <c r="K346" s="604"/>
      <c r="L346" s="604"/>
      <c r="M346" s="604"/>
    </row>
    <row r="347" spans="1:13" ht="18.75" x14ac:dyDescent="0.3">
      <c r="A347" s="604"/>
      <c r="B347" s="604"/>
      <c r="C347" s="604"/>
      <c r="D347" s="604"/>
      <c r="E347" s="604"/>
      <c r="F347" s="604"/>
      <c r="G347" s="604"/>
      <c r="H347" s="604"/>
      <c r="I347" s="604"/>
      <c r="J347" s="604"/>
      <c r="K347" s="604"/>
      <c r="L347" s="604"/>
      <c r="M347" s="604"/>
    </row>
    <row r="348" spans="1:13" ht="18.75" x14ac:dyDescent="0.3">
      <c r="A348" s="604"/>
      <c r="B348" s="604"/>
      <c r="C348" s="604"/>
      <c r="D348" s="604"/>
      <c r="E348" s="604"/>
      <c r="F348" s="604"/>
      <c r="G348" s="604"/>
      <c r="H348" s="604"/>
      <c r="I348" s="604"/>
      <c r="J348" s="604"/>
      <c r="K348" s="604"/>
      <c r="L348" s="604"/>
      <c r="M348" s="604"/>
    </row>
    <row r="349" spans="1:13" ht="18.75" x14ac:dyDescent="0.3">
      <c r="A349" s="604"/>
      <c r="B349" s="604"/>
      <c r="C349" s="604"/>
      <c r="D349" s="604"/>
      <c r="E349" s="604"/>
      <c r="F349" s="604"/>
      <c r="G349" s="604"/>
      <c r="H349" s="604"/>
      <c r="I349" s="604"/>
      <c r="J349" s="604"/>
      <c r="K349" s="604"/>
      <c r="L349" s="604"/>
      <c r="M349" s="604"/>
    </row>
    <row r="350" spans="1:13" ht="18.75" x14ac:dyDescent="0.3">
      <c r="A350" s="604"/>
      <c r="B350" s="604"/>
      <c r="C350" s="604"/>
      <c r="D350" s="604"/>
      <c r="E350" s="604"/>
      <c r="F350" s="604"/>
      <c r="G350" s="604"/>
      <c r="H350" s="604"/>
      <c r="I350" s="604"/>
      <c r="J350" s="604"/>
      <c r="K350" s="604"/>
      <c r="L350" s="604"/>
      <c r="M350" s="604"/>
    </row>
    <row r="351" spans="1:13" ht="18.75" x14ac:dyDescent="0.3">
      <c r="A351" s="604"/>
      <c r="B351" s="604"/>
      <c r="C351" s="604"/>
      <c r="D351" s="604"/>
      <c r="E351" s="604"/>
      <c r="F351" s="604"/>
      <c r="G351" s="604"/>
      <c r="H351" s="604"/>
      <c r="I351" s="604"/>
      <c r="J351" s="604"/>
      <c r="K351" s="604"/>
      <c r="L351" s="604"/>
      <c r="M351" s="604"/>
    </row>
    <row r="352" spans="1:13" ht="18.75" x14ac:dyDescent="0.3">
      <c r="A352" s="604"/>
      <c r="B352" s="604"/>
      <c r="C352" s="604"/>
      <c r="D352" s="604"/>
      <c r="E352" s="604"/>
      <c r="F352" s="604"/>
      <c r="G352" s="604"/>
      <c r="H352" s="604"/>
      <c r="I352" s="604"/>
      <c r="J352" s="604"/>
      <c r="K352" s="604"/>
      <c r="L352" s="604"/>
      <c r="M352" s="604"/>
    </row>
    <row r="353" spans="1:13" ht="18.75" x14ac:dyDescent="0.3">
      <c r="A353" s="604"/>
      <c r="B353" s="604"/>
      <c r="C353" s="604"/>
      <c r="D353" s="604"/>
      <c r="E353" s="604"/>
      <c r="F353" s="604"/>
      <c r="G353" s="604"/>
      <c r="H353" s="604"/>
      <c r="I353" s="604"/>
      <c r="J353" s="604"/>
      <c r="K353" s="604"/>
      <c r="L353" s="604"/>
      <c r="M353" s="604"/>
    </row>
    <row r="354" spans="1:13" ht="18.75" x14ac:dyDescent="0.3">
      <c r="A354" s="604"/>
      <c r="B354" s="604"/>
      <c r="C354" s="604"/>
      <c r="D354" s="604"/>
      <c r="E354" s="604"/>
      <c r="F354" s="604"/>
      <c r="G354" s="604"/>
      <c r="H354" s="604"/>
      <c r="I354" s="604"/>
      <c r="J354" s="604"/>
      <c r="K354" s="604"/>
      <c r="L354" s="604"/>
      <c r="M354" s="604"/>
    </row>
    <row r="355" spans="1:13" ht="18.75" x14ac:dyDescent="0.3">
      <c r="A355" s="604"/>
      <c r="B355" s="604"/>
      <c r="C355" s="604"/>
      <c r="D355" s="604"/>
      <c r="E355" s="604"/>
      <c r="F355" s="604"/>
      <c r="G355" s="604"/>
      <c r="H355" s="604"/>
      <c r="I355" s="604"/>
      <c r="J355" s="604"/>
      <c r="K355" s="604"/>
      <c r="L355" s="604"/>
      <c r="M355" s="604"/>
    </row>
    <row r="356" spans="1:13" ht="18.75" x14ac:dyDescent="0.3">
      <c r="A356" s="604"/>
      <c r="B356" s="604"/>
      <c r="C356" s="604"/>
      <c r="D356" s="604"/>
      <c r="E356" s="604"/>
      <c r="F356" s="604"/>
      <c r="G356" s="604"/>
      <c r="H356" s="604"/>
      <c r="I356" s="604"/>
      <c r="J356" s="604"/>
      <c r="K356" s="604"/>
      <c r="L356" s="604"/>
      <c r="M356" s="604"/>
    </row>
    <row r="357" spans="1:13" ht="18.75" x14ac:dyDescent="0.3">
      <c r="A357" s="604"/>
      <c r="B357" s="604"/>
      <c r="C357" s="604"/>
      <c r="D357" s="604"/>
      <c r="E357" s="604"/>
      <c r="F357" s="604"/>
      <c r="G357" s="604"/>
      <c r="H357" s="604"/>
      <c r="I357" s="604"/>
      <c r="J357" s="604"/>
      <c r="K357" s="604"/>
      <c r="L357" s="604"/>
      <c r="M357" s="604"/>
    </row>
    <row r="358" spans="1:13" ht="18.75" x14ac:dyDescent="0.3">
      <c r="A358" s="604"/>
      <c r="B358" s="604"/>
      <c r="C358" s="604"/>
      <c r="D358" s="604"/>
      <c r="E358" s="604"/>
      <c r="F358" s="604"/>
      <c r="G358" s="604"/>
      <c r="H358" s="604"/>
      <c r="I358" s="604"/>
      <c r="J358" s="604"/>
      <c r="K358" s="604"/>
      <c r="L358" s="604"/>
      <c r="M358" s="604"/>
    </row>
    <row r="359" spans="1:13" ht="18.75" x14ac:dyDescent="0.3">
      <c r="A359" s="604"/>
      <c r="B359" s="604"/>
      <c r="C359" s="604"/>
      <c r="D359" s="604"/>
      <c r="E359" s="604"/>
      <c r="F359" s="604"/>
      <c r="G359" s="604"/>
      <c r="H359" s="604"/>
      <c r="I359" s="604"/>
      <c r="J359" s="604"/>
      <c r="K359" s="604"/>
      <c r="L359" s="604"/>
      <c r="M359" s="604"/>
    </row>
    <row r="360" spans="1:13" ht="18.75" x14ac:dyDescent="0.3">
      <c r="A360" s="604"/>
      <c r="B360" s="604"/>
      <c r="C360" s="604"/>
      <c r="D360" s="604"/>
      <c r="E360" s="604"/>
      <c r="F360" s="604"/>
      <c r="G360" s="604"/>
      <c r="H360" s="604"/>
      <c r="I360" s="604"/>
      <c r="J360" s="604"/>
      <c r="K360" s="604"/>
      <c r="L360" s="604"/>
      <c r="M360" s="604"/>
    </row>
    <row r="361" spans="1:13" ht="18.75" x14ac:dyDescent="0.3">
      <c r="A361" s="604"/>
      <c r="B361" s="604"/>
      <c r="C361" s="604"/>
      <c r="D361" s="604"/>
      <c r="E361" s="604"/>
      <c r="F361" s="604"/>
      <c r="G361" s="604"/>
      <c r="H361" s="604"/>
      <c r="I361" s="604"/>
      <c r="J361" s="604"/>
      <c r="K361" s="604"/>
      <c r="L361" s="604"/>
      <c r="M361" s="604"/>
    </row>
    <row r="362" spans="1:13" ht="18.75" x14ac:dyDescent="0.3">
      <c r="A362" s="604"/>
      <c r="B362" s="604"/>
      <c r="C362" s="604"/>
      <c r="D362" s="604"/>
      <c r="E362" s="604"/>
      <c r="F362" s="604"/>
      <c r="G362" s="604"/>
      <c r="H362" s="604"/>
      <c r="I362" s="604"/>
      <c r="J362" s="604"/>
      <c r="K362" s="604"/>
      <c r="L362" s="604"/>
      <c r="M362" s="604"/>
    </row>
    <row r="363" spans="1:13" ht="18.75" x14ac:dyDescent="0.3">
      <c r="A363" s="604"/>
      <c r="B363" s="604"/>
      <c r="C363" s="604"/>
      <c r="D363" s="604"/>
      <c r="E363" s="604"/>
      <c r="F363" s="604"/>
      <c r="G363" s="604"/>
      <c r="H363" s="604"/>
      <c r="I363" s="604"/>
      <c r="J363" s="604"/>
      <c r="K363" s="604"/>
      <c r="L363" s="604"/>
      <c r="M363" s="604"/>
    </row>
    <row r="364" spans="1:13" ht="18.75" x14ac:dyDescent="0.3">
      <c r="A364" s="604"/>
      <c r="B364" s="604"/>
      <c r="C364" s="604"/>
      <c r="D364" s="604"/>
      <c r="E364" s="604"/>
      <c r="F364" s="604"/>
      <c r="G364" s="604"/>
      <c r="H364" s="604"/>
      <c r="I364" s="604"/>
      <c r="J364" s="604"/>
      <c r="K364" s="604"/>
      <c r="L364" s="604"/>
      <c r="M364" s="604"/>
    </row>
    <row r="365" spans="1:13" ht="18.75" x14ac:dyDescent="0.3">
      <c r="A365" s="604"/>
      <c r="B365" s="604"/>
      <c r="C365" s="604"/>
      <c r="D365" s="604"/>
      <c r="E365" s="604"/>
      <c r="F365" s="604"/>
      <c r="G365" s="604"/>
      <c r="H365" s="604"/>
      <c r="I365" s="604"/>
      <c r="J365" s="604"/>
      <c r="K365" s="604"/>
      <c r="L365" s="604"/>
      <c r="M365" s="604"/>
    </row>
    <row r="366" spans="1:13" ht="18.75" x14ac:dyDescent="0.3">
      <c r="A366" s="604"/>
      <c r="B366" s="604"/>
      <c r="C366" s="604"/>
      <c r="D366" s="604"/>
      <c r="E366" s="604"/>
      <c r="F366" s="604"/>
      <c r="G366" s="604"/>
      <c r="H366" s="604"/>
      <c r="I366" s="604"/>
      <c r="J366" s="604"/>
      <c r="K366" s="604"/>
      <c r="L366" s="604"/>
      <c r="M366" s="604"/>
    </row>
    <row r="367" spans="1:13" ht="18.75" x14ac:dyDescent="0.3">
      <c r="A367" s="604"/>
      <c r="B367" s="604"/>
      <c r="C367" s="604"/>
      <c r="D367" s="604"/>
      <c r="E367" s="604"/>
      <c r="F367" s="604"/>
      <c r="G367" s="604"/>
      <c r="H367" s="604"/>
      <c r="I367" s="604"/>
      <c r="J367" s="604"/>
      <c r="K367" s="604"/>
      <c r="L367" s="604"/>
      <c r="M367" s="604"/>
    </row>
    <row r="368" spans="1:13" ht="18.75" x14ac:dyDescent="0.3">
      <c r="A368" s="604"/>
      <c r="B368" s="604"/>
      <c r="C368" s="604"/>
      <c r="D368" s="604"/>
      <c r="E368" s="604"/>
      <c r="F368" s="604"/>
      <c r="G368" s="604"/>
      <c r="H368" s="604"/>
      <c r="I368" s="604"/>
      <c r="J368" s="604"/>
      <c r="K368" s="604"/>
      <c r="L368" s="604"/>
      <c r="M368" s="604"/>
    </row>
    <row r="369" spans="1:13" ht="18.75" x14ac:dyDescent="0.3">
      <c r="A369" s="604"/>
      <c r="B369" s="604"/>
      <c r="C369" s="604"/>
      <c r="D369" s="604"/>
      <c r="E369" s="604"/>
      <c r="F369" s="604"/>
      <c r="G369" s="604"/>
      <c r="H369" s="604"/>
      <c r="I369" s="604"/>
      <c r="J369" s="604"/>
      <c r="K369" s="604"/>
      <c r="L369" s="604"/>
      <c r="M369" s="604"/>
    </row>
    <row r="370" spans="1:13" ht="18.75" x14ac:dyDescent="0.3">
      <c r="A370" s="604"/>
      <c r="B370" s="604"/>
      <c r="C370" s="604"/>
      <c r="D370" s="604"/>
      <c r="E370" s="604"/>
      <c r="F370" s="604"/>
      <c r="G370" s="604"/>
      <c r="H370" s="604"/>
      <c r="I370" s="604"/>
      <c r="J370" s="604"/>
      <c r="K370" s="604"/>
      <c r="L370" s="604"/>
      <c r="M370" s="604"/>
    </row>
    <row r="371" spans="1:13" ht="18.75" x14ac:dyDescent="0.3">
      <c r="A371" s="604"/>
      <c r="B371" s="604"/>
      <c r="C371" s="604"/>
      <c r="D371" s="604"/>
      <c r="E371" s="604"/>
      <c r="F371" s="604"/>
      <c r="G371" s="604"/>
      <c r="H371" s="604"/>
      <c r="I371" s="604"/>
      <c r="J371" s="604"/>
      <c r="K371" s="604"/>
      <c r="L371" s="604"/>
      <c r="M371" s="604"/>
    </row>
    <row r="372" spans="1:13" ht="18.75" x14ac:dyDescent="0.3">
      <c r="A372" s="604"/>
      <c r="B372" s="604"/>
      <c r="C372" s="604"/>
      <c r="D372" s="604"/>
      <c r="E372" s="604"/>
      <c r="F372" s="604"/>
      <c r="G372" s="604"/>
      <c r="H372" s="604"/>
      <c r="I372" s="604"/>
      <c r="J372" s="604"/>
      <c r="K372" s="604"/>
      <c r="L372" s="604"/>
      <c r="M372" s="604"/>
    </row>
    <row r="373" spans="1:13" ht="18.75" x14ac:dyDescent="0.3">
      <c r="A373" s="604"/>
      <c r="B373" s="604"/>
      <c r="C373" s="604"/>
      <c r="D373" s="604"/>
      <c r="E373" s="604"/>
      <c r="F373" s="604"/>
      <c r="G373" s="604"/>
      <c r="H373" s="604"/>
      <c r="I373" s="604"/>
      <c r="J373" s="604"/>
      <c r="K373" s="604"/>
      <c r="L373" s="604"/>
      <c r="M373" s="604"/>
    </row>
    <row r="374" spans="1:13" ht="18.75" x14ac:dyDescent="0.3">
      <c r="A374" s="604"/>
      <c r="B374" s="604"/>
      <c r="C374" s="604"/>
      <c r="D374" s="604"/>
      <c r="E374" s="604"/>
      <c r="F374" s="604"/>
      <c r="G374" s="604"/>
      <c r="H374" s="604"/>
      <c r="I374" s="604"/>
      <c r="J374" s="604"/>
      <c r="K374" s="604"/>
      <c r="L374" s="604"/>
      <c r="M374" s="604"/>
    </row>
    <row r="375" spans="1:13" ht="18.75" x14ac:dyDescent="0.3">
      <c r="A375" s="604"/>
      <c r="B375" s="604"/>
      <c r="C375" s="604"/>
      <c r="D375" s="604"/>
      <c r="E375" s="604"/>
      <c r="F375" s="604"/>
      <c r="G375" s="604"/>
      <c r="H375" s="604"/>
      <c r="I375" s="604"/>
      <c r="J375" s="604"/>
      <c r="K375" s="604"/>
      <c r="L375" s="604"/>
      <c r="M375" s="604"/>
    </row>
    <row r="376" spans="1:13" ht="18.75" x14ac:dyDescent="0.3">
      <c r="A376" s="604"/>
      <c r="B376" s="604"/>
      <c r="C376" s="604"/>
      <c r="D376" s="604"/>
      <c r="E376" s="604"/>
      <c r="F376" s="604"/>
      <c r="G376" s="604"/>
      <c r="H376" s="604"/>
      <c r="I376" s="604"/>
      <c r="J376" s="604"/>
      <c r="K376" s="604"/>
      <c r="L376" s="604"/>
      <c r="M376" s="604"/>
    </row>
    <row r="377" spans="1:13" ht="18.75" x14ac:dyDescent="0.3">
      <c r="A377" s="604"/>
      <c r="B377" s="604"/>
      <c r="C377" s="604"/>
      <c r="D377" s="604"/>
      <c r="E377" s="604"/>
      <c r="F377" s="604"/>
      <c r="G377" s="604"/>
      <c r="H377" s="604"/>
      <c r="I377" s="604"/>
      <c r="J377" s="604"/>
      <c r="K377" s="604"/>
      <c r="L377" s="604"/>
      <c r="M377" s="604"/>
    </row>
    <row r="378" spans="1:13" ht="18.75" x14ac:dyDescent="0.3">
      <c r="A378" s="604"/>
      <c r="B378" s="604"/>
      <c r="C378" s="604"/>
      <c r="D378" s="604"/>
      <c r="E378" s="604"/>
      <c r="F378" s="604"/>
      <c r="G378" s="604"/>
      <c r="H378" s="604"/>
      <c r="I378" s="604"/>
      <c r="J378" s="604"/>
      <c r="K378" s="604"/>
      <c r="L378" s="604"/>
      <c r="M378" s="604"/>
    </row>
    <row r="379" spans="1:13" ht="18.75" x14ac:dyDescent="0.3">
      <c r="A379" s="604"/>
      <c r="B379" s="604"/>
      <c r="C379" s="604"/>
      <c r="D379" s="604"/>
      <c r="E379" s="604"/>
      <c r="F379" s="604"/>
      <c r="G379" s="604"/>
      <c r="H379" s="604"/>
      <c r="I379" s="604"/>
      <c r="J379" s="604"/>
      <c r="K379" s="604"/>
      <c r="L379" s="604"/>
      <c r="M379" s="604"/>
    </row>
    <row r="380" spans="1:13" ht="18.75" x14ac:dyDescent="0.3">
      <c r="A380" s="604"/>
      <c r="B380" s="604"/>
      <c r="C380" s="604"/>
      <c r="D380" s="604"/>
      <c r="E380" s="604"/>
      <c r="F380" s="604"/>
      <c r="G380" s="604"/>
      <c r="H380" s="604"/>
      <c r="I380" s="604"/>
      <c r="J380" s="604"/>
      <c r="K380" s="604"/>
      <c r="L380" s="604"/>
      <c r="M380" s="604"/>
    </row>
    <row r="381" spans="1:13" ht="18.75" x14ac:dyDescent="0.3">
      <c r="A381" s="604"/>
      <c r="B381" s="604"/>
      <c r="C381" s="604"/>
      <c r="D381" s="604"/>
      <c r="E381" s="604"/>
      <c r="F381" s="604"/>
      <c r="G381" s="604"/>
      <c r="H381" s="604"/>
      <c r="I381" s="604"/>
      <c r="J381" s="604"/>
      <c r="K381" s="604"/>
      <c r="L381" s="604"/>
      <c r="M381" s="604"/>
    </row>
    <row r="382" spans="1:13" ht="18.75" x14ac:dyDescent="0.3">
      <c r="A382" s="604"/>
      <c r="B382" s="604"/>
      <c r="C382" s="604"/>
      <c r="D382" s="604"/>
      <c r="E382" s="604"/>
      <c r="F382" s="604"/>
      <c r="G382" s="604"/>
      <c r="H382" s="604"/>
      <c r="I382" s="604"/>
      <c r="J382" s="604"/>
      <c r="K382" s="604"/>
      <c r="L382" s="604"/>
      <c r="M382" s="604"/>
    </row>
    <row r="383" spans="1:13" ht="18.75" x14ac:dyDescent="0.3">
      <c r="A383" s="604"/>
      <c r="B383" s="604"/>
      <c r="C383" s="604"/>
      <c r="D383" s="604"/>
      <c r="E383" s="604"/>
      <c r="F383" s="604"/>
      <c r="G383" s="604"/>
      <c r="H383" s="604"/>
      <c r="I383" s="604"/>
      <c r="J383" s="604"/>
      <c r="K383" s="604"/>
      <c r="L383" s="604"/>
      <c r="M383" s="604"/>
    </row>
    <row r="384" spans="1:13" ht="18.75" x14ac:dyDescent="0.3">
      <c r="A384" s="604"/>
      <c r="B384" s="604"/>
      <c r="C384" s="604"/>
      <c r="D384" s="604"/>
      <c r="E384" s="604"/>
      <c r="F384" s="604"/>
      <c r="G384" s="604"/>
      <c r="H384" s="604"/>
      <c r="I384" s="604"/>
      <c r="J384" s="604"/>
      <c r="K384" s="604"/>
      <c r="L384" s="604"/>
      <c r="M384" s="604"/>
    </row>
    <row r="385" spans="1:13" ht="18.75" x14ac:dyDescent="0.3">
      <c r="A385" s="604"/>
      <c r="B385" s="604"/>
      <c r="C385" s="604"/>
      <c r="D385" s="604"/>
      <c r="E385" s="604"/>
      <c r="F385" s="604"/>
      <c r="G385" s="604"/>
      <c r="H385" s="604"/>
      <c r="I385" s="604"/>
      <c r="J385" s="604"/>
      <c r="K385" s="604"/>
      <c r="L385" s="604"/>
      <c r="M385" s="604"/>
    </row>
    <row r="386" spans="1:13" ht="18.75" x14ac:dyDescent="0.3">
      <c r="A386" s="604"/>
      <c r="B386" s="604"/>
      <c r="C386" s="604"/>
      <c r="D386" s="604"/>
      <c r="E386" s="604"/>
      <c r="F386" s="604"/>
      <c r="G386" s="604"/>
      <c r="H386" s="604"/>
      <c r="I386" s="604"/>
      <c r="J386" s="604"/>
      <c r="K386" s="604"/>
      <c r="L386" s="604"/>
      <c r="M386" s="604"/>
    </row>
    <row r="387" spans="1:13" ht="18.75" x14ac:dyDescent="0.3">
      <c r="A387" s="604"/>
      <c r="B387" s="604"/>
      <c r="C387" s="604"/>
      <c r="D387" s="604"/>
      <c r="E387" s="604"/>
      <c r="F387" s="604"/>
      <c r="G387" s="604"/>
      <c r="H387" s="604"/>
      <c r="I387" s="604"/>
      <c r="J387" s="604"/>
      <c r="K387" s="604"/>
      <c r="L387" s="604"/>
      <c r="M387" s="604"/>
    </row>
    <row r="388" spans="1:13" ht="18.75" x14ac:dyDescent="0.3">
      <c r="A388" s="604"/>
      <c r="B388" s="604"/>
      <c r="C388" s="604"/>
      <c r="D388" s="604"/>
      <c r="E388" s="604"/>
      <c r="F388" s="604"/>
      <c r="G388" s="604"/>
      <c r="H388" s="604"/>
      <c r="I388" s="604"/>
      <c r="J388" s="604"/>
      <c r="K388" s="604"/>
      <c r="L388" s="604"/>
      <c r="M388" s="604"/>
    </row>
    <row r="389" spans="1:13" ht="18.75" x14ac:dyDescent="0.3">
      <c r="A389" s="604"/>
      <c r="B389" s="604"/>
      <c r="C389" s="604"/>
      <c r="D389" s="604"/>
      <c r="E389" s="604"/>
      <c r="F389" s="604"/>
      <c r="G389" s="604"/>
      <c r="H389" s="604"/>
      <c r="I389" s="604"/>
      <c r="J389" s="604"/>
      <c r="K389" s="604"/>
      <c r="L389" s="604"/>
      <c r="M389" s="604"/>
    </row>
    <row r="390" spans="1:13" ht="18.75" x14ac:dyDescent="0.3">
      <c r="A390" s="604"/>
      <c r="B390" s="604"/>
      <c r="C390" s="604"/>
      <c r="D390" s="604"/>
      <c r="E390" s="604"/>
      <c r="F390" s="604"/>
      <c r="G390" s="604"/>
      <c r="H390" s="604"/>
      <c r="I390" s="604"/>
      <c r="J390" s="604"/>
      <c r="K390" s="604"/>
      <c r="L390" s="604"/>
      <c r="M390" s="604"/>
    </row>
    <row r="391" spans="1:13" ht="18.75" x14ac:dyDescent="0.3">
      <c r="A391" s="604"/>
      <c r="B391" s="604"/>
      <c r="C391" s="604"/>
      <c r="D391" s="604"/>
      <c r="E391" s="604"/>
      <c r="F391" s="604"/>
      <c r="G391" s="604"/>
      <c r="H391" s="604"/>
      <c r="I391" s="604"/>
      <c r="J391" s="604"/>
      <c r="K391" s="604"/>
      <c r="L391" s="604"/>
      <c r="M391" s="604"/>
    </row>
    <row r="392" spans="1:13" ht="18.75" x14ac:dyDescent="0.3">
      <c r="A392" s="604"/>
      <c r="B392" s="604"/>
      <c r="C392" s="604"/>
      <c r="D392" s="604"/>
      <c r="E392" s="604"/>
      <c r="F392" s="604"/>
      <c r="G392" s="604"/>
      <c r="H392" s="604"/>
      <c r="I392" s="604"/>
      <c r="J392" s="604"/>
      <c r="K392" s="604"/>
      <c r="L392" s="604"/>
      <c r="M392" s="604"/>
    </row>
    <row r="393" spans="1:13" ht="18.75" x14ac:dyDescent="0.3">
      <c r="A393" s="604"/>
      <c r="B393" s="604"/>
      <c r="C393" s="604"/>
      <c r="D393" s="604"/>
      <c r="E393" s="604"/>
      <c r="F393" s="604"/>
      <c r="G393" s="604"/>
      <c r="H393" s="604"/>
      <c r="I393" s="604"/>
      <c r="J393" s="604"/>
      <c r="K393" s="604"/>
      <c r="L393" s="604"/>
      <c r="M393" s="604"/>
    </row>
    <row r="394" spans="1:13" ht="18.75" x14ac:dyDescent="0.3">
      <c r="A394" s="604"/>
      <c r="B394" s="604"/>
      <c r="C394" s="604"/>
      <c r="D394" s="604"/>
      <c r="E394" s="604"/>
      <c r="F394" s="604"/>
      <c r="G394" s="604"/>
      <c r="H394" s="604"/>
      <c r="I394" s="604"/>
      <c r="J394" s="604"/>
      <c r="K394" s="604"/>
      <c r="L394" s="604"/>
      <c r="M394" s="604"/>
    </row>
    <row r="395" spans="1:13" ht="18.75" x14ac:dyDescent="0.3">
      <c r="A395" s="604"/>
      <c r="B395" s="604"/>
      <c r="C395" s="604"/>
      <c r="D395" s="604"/>
      <c r="E395" s="604"/>
      <c r="F395" s="604"/>
      <c r="G395" s="604"/>
      <c r="H395" s="604"/>
      <c r="I395" s="604"/>
      <c r="J395" s="604"/>
      <c r="K395" s="604"/>
      <c r="L395" s="604"/>
      <c r="M395" s="604"/>
    </row>
    <row r="396" spans="1:13" ht="18.75" x14ac:dyDescent="0.3">
      <c r="A396" s="604"/>
      <c r="B396" s="604"/>
      <c r="C396" s="604"/>
      <c r="D396" s="604"/>
      <c r="E396" s="604"/>
      <c r="F396" s="604"/>
      <c r="G396" s="604"/>
      <c r="H396" s="604"/>
      <c r="I396" s="604"/>
      <c r="J396" s="604"/>
      <c r="K396" s="604"/>
      <c r="L396" s="604"/>
      <c r="M396" s="604"/>
    </row>
    <row r="397" spans="1:13" ht="18.75" x14ac:dyDescent="0.3">
      <c r="A397" s="604"/>
      <c r="B397" s="604"/>
      <c r="C397" s="604"/>
      <c r="D397" s="604"/>
      <c r="E397" s="604"/>
      <c r="F397" s="604"/>
      <c r="G397" s="604"/>
      <c r="H397" s="604"/>
      <c r="I397" s="604"/>
      <c r="J397" s="604"/>
      <c r="K397" s="604"/>
      <c r="L397" s="604"/>
      <c r="M397" s="604"/>
    </row>
    <row r="398" spans="1:13" ht="18.75" x14ac:dyDescent="0.3">
      <c r="A398" s="604"/>
      <c r="B398" s="604"/>
      <c r="C398" s="604"/>
      <c r="D398" s="604"/>
      <c r="E398" s="604"/>
      <c r="F398" s="604"/>
      <c r="G398" s="604"/>
      <c r="H398" s="604"/>
      <c r="I398" s="604"/>
      <c r="J398" s="604"/>
      <c r="K398" s="604"/>
      <c r="L398" s="604"/>
      <c r="M398" s="604"/>
    </row>
    <row r="399" spans="1:13" ht="18.75" x14ac:dyDescent="0.3">
      <c r="A399" s="604"/>
      <c r="B399" s="604"/>
      <c r="C399" s="604"/>
      <c r="D399" s="604"/>
      <c r="E399" s="604"/>
      <c r="F399" s="604"/>
      <c r="G399" s="604"/>
      <c r="H399" s="604"/>
      <c r="I399" s="604"/>
      <c r="J399" s="604"/>
      <c r="K399" s="604"/>
      <c r="L399" s="604"/>
      <c r="M399" s="604"/>
    </row>
    <row r="400" spans="1:13" ht="18.75" x14ac:dyDescent="0.3">
      <c r="A400" s="604"/>
      <c r="B400" s="604"/>
      <c r="C400" s="604"/>
      <c r="D400" s="604"/>
      <c r="E400" s="604"/>
      <c r="F400" s="604"/>
      <c r="G400" s="604"/>
      <c r="H400" s="604"/>
      <c r="I400" s="604"/>
      <c r="J400" s="604"/>
      <c r="K400" s="604"/>
      <c r="L400" s="604"/>
      <c r="M400" s="604"/>
    </row>
    <row r="401" spans="1:13" ht="18.75" x14ac:dyDescent="0.3">
      <c r="A401" s="604"/>
      <c r="B401" s="604"/>
      <c r="C401" s="604"/>
      <c r="D401" s="604"/>
      <c r="E401" s="604"/>
      <c r="F401" s="604"/>
      <c r="G401" s="604"/>
      <c r="H401" s="604"/>
      <c r="I401" s="604"/>
      <c r="J401" s="604"/>
      <c r="K401" s="604"/>
      <c r="L401" s="604"/>
      <c r="M401" s="604"/>
    </row>
    <row r="402" spans="1:13" ht="18.75" x14ac:dyDescent="0.3">
      <c r="A402" s="604"/>
      <c r="B402" s="604"/>
      <c r="C402" s="604"/>
      <c r="D402" s="604"/>
      <c r="E402" s="604"/>
      <c r="F402" s="604"/>
      <c r="G402" s="604"/>
      <c r="H402" s="604"/>
      <c r="I402" s="604"/>
      <c r="J402" s="604"/>
      <c r="K402" s="604"/>
      <c r="L402" s="604"/>
      <c r="M402" s="604"/>
    </row>
    <row r="403" spans="1:13" ht="18.75" x14ac:dyDescent="0.3">
      <c r="A403" s="604"/>
      <c r="B403" s="604"/>
      <c r="C403" s="604"/>
      <c r="D403" s="604"/>
      <c r="E403" s="604"/>
      <c r="F403" s="604"/>
      <c r="G403" s="604"/>
      <c r="H403" s="604"/>
      <c r="I403" s="604"/>
      <c r="J403" s="604"/>
      <c r="K403" s="604"/>
      <c r="L403" s="604"/>
      <c r="M403" s="604"/>
    </row>
    <row r="404" spans="1:13" ht="18.75" x14ac:dyDescent="0.3">
      <c r="A404" s="604"/>
      <c r="B404" s="604"/>
      <c r="C404" s="604"/>
      <c r="D404" s="604"/>
      <c r="E404" s="604"/>
      <c r="F404" s="604"/>
      <c r="G404" s="604"/>
      <c r="H404" s="604"/>
      <c r="I404" s="604"/>
      <c r="J404" s="604"/>
      <c r="K404" s="604"/>
      <c r="L404" s="604"/>
      <c r="M404" s="604"/>
    </row>
    <row r="405" spans="1:13" ht="18.75" x14ac:dyDescent="0.3">
      <c r="A405" s="604"/>
      <c r="B405" s="604"/>
      <c r="C405" s="604"/>
      <c r="D405" s="604"/>
      <c r="E405" s="604"/>
      <c r="F405" s="604"/>
      <c r="G405" s="604"/>
      <c r="H405" s="604"/>
      <c r="I405" s="604"/>
      <c r="J405" s="604"/>
      <c r="K405" s="604"/>
      <c r="L405" s="604"/>
      <c r="M405" s="604"/>
    </row>
    <row r="406" spans="1:13" ht="18.75" x14ac:dyDescent="0.3">
      <c r="A406" s="604"/>
      <c r="B406" s="604"/>
      <c r="C406" s="604"/>
      <c r="D406" s="604"/>
      <c r="E406" s="604"/>
      <c r="F406" s="604"/>
      <c r="G406" s="604"/>
      <c r="H406" s="604"/>
      <c r="I406" s="604"/>
      <c r="J406" s="604"/>
      <c r="K406" s="604"/>
      <c r="L406" s="604"/>
      <c r="M406" s="604"/>
    </row>
    <row r="407" spans="1:13" ht="18.75" x14ac:dyDescent="0.3">
      <c r="A407" s="604"/>
      <c r="B407" s="604"/>
      <c r="C407" s="604"/>
      <c r="D407" s="604"/>
      <c r="E407" s="604"/>
      <c r="F407" s="604"/>
      <c r="G407" s="604"/>
      <c r="H407" s="604"/>
      <c r="I407" s="604"/>
      <c r="J407" s="604"/>
      <c r="K407" s="604"/>
      <c r="L407" s="604"/>
      <c r="M407" s="604"/>
    </row>
    <row r="408" spans="1:13" ht="18.75" x14ac:dyDescent="0.3">
      <c r="A408" s="604"/>
      <c r="B408" s="604"/>
      <c r="C408" s="604"/>
      <c r="D408" s="604"/>
      <c r="E408" s="604"/>
      <c r="F408" s="604"/>
      <c r="G408" s="604"/>
      <c r="H408" s="604"/>
      <c r="I408" s="604"/>
      <c r="J408" s="604"/>
      <c r="K408" s="604"/>
      <c r="L408" s="604"/>
      <c r="M408" s="604"/>
    </row>
    <row r="409" spans="1:13" ht="18.75" x14ac:dyDescent="0.3">
      <c r="A409" s="604"/>
      <c r="B409" s="604"/>
      <c r="C409" s="604"/>
      <c r="D409" s="604"/>
      <c r="E409" s="604"/>
      <c r="F409" s="604"/>
      <c r="G409" s="604"/>
      <c r="H409" s="604"/>
      <c r="I409" s="604"/>
      <c r="J409" s="604"/>
      <c r="K409" s="604"/>
      <c r="L409" s="604"/>
      <c r="M409" s="604"/>
    </row>
    <row r="410" spans="1:13" ht="18.75" x14ac:dyDescent="0.3">
      <c r="A410" s="604"/>
      <c r="B410" s="604"/>
      <c r="C410" s="604"/>
      <c r="D410" s="604"/>
      <c r="E410" s="604"/>
      <c r="F410" s="604"/>
      <c r="G410" s="604"/>
      <c r="H410" s="604"/>
      <c r="I410" s="604"/>
      <c r="J410" s="604"/>
      <c r="K410" s="604"/>
      <c r="L410" s="604"/>
      <c r="M410" s="604"/>
    </row>
    <row r="411" spans="1:13" ht="18.75" x14ac:dyDescent="0.3">
      <c r="A411" s="604"/>
      <c r="B411" s="604"/>
      <c r="C411" s="604"/>
      <c r="D411" s="604"/>
      <c r="E411" s="604"/>
      <c r="F411" s="604"/>
      <c r="G411" s="604"/>
      <c r="H411" s="604"/>
      <c r="I411" s="604"/>
      <c r="J411" s="604"/>
      <c r="K411" s="604"/>
      <c r="L411" s="604"/>
      <c r="M411" s="604"/>
    </row>
    <row r="412" spans="1:13" ht="18.75" x14ac:dyDescent="0.3">
      <c r="A412" s="604"/>
      <c r="B412" s="604"/>
      <c r="C412" s="604"/>
      <c r="D412" s="604"/>
      <c r="E412" s="604"/>
      <c r="F412" s="604"/>
      <c r="G412" s="604"/>
      <c r="H412" s="604"/>
      <c r="I412" s="604"/>
      <c r="J412" s="604"/>
      <c r="K412" s="604"/>
      <c r="L412" s="604"/>
      <c r="M412" s="604"/>
    </row>
    <row r="413" spans="1:13" ht="18.75" x14ac:dyDescent="0.3">
      <c r="A413" s="604"/>
      <c r="B413" s="604"/>
      <c r="C413" s="604"/>
      <c r="D413" s="604"/>
      <c r="E413" s="604"/>
      <c r="F413" s="604"/>
      <c r="G413" s="604"/>
      <c r="H413" s="604"/>
      <c r="I413" s="604"/>
      <c r="J413" s="604"/>
      <c r="K413" s="604"/>
      <c r="L413" s="604"/>
      <c r="M413" s="604"/>
    </row>
    <row r="414" spans="1:13" ht="18.75" x14ac:dyDescent="0.3">
      <c r="A414" s="604"/>
      <c r="B414" s="604"/>
      <c r="C414" s="604"/>
      <c r="D414" s="604"/>
      <c r="E414" s="604"/>
      <c r="F414" s="604"/>
      <c r="G414" s="604"/>
      <c r="H414" s="604"/>
      <c r="I414" s="604"/>
      <c r="J414" s="604"/>
      <c r="K414" s="604"/>
      <c r="L414" s="604"/>
      <c r="M414" s="604"/>
    </row>
    <row r="415" spans="1:13" ht="18.75" x14ac:dyDescent="0.3">
      <c r="A415" s="604"/>
      <c r="B415" s="604"/>
      <c r="C415" s="604"/>
      <c r="D415" s="604"/>
      <c r="E415" s="604"/>
      <c r="F415" s="604"/>
      <c r="G415" s="604"/>
      <c r="H415" s="604"/>
      <c r="I415" s="604"/>
      <c r="J415" s="604"/>
      <c r="K415" s="604"/>
      <c r="L415" s="604"/>
      <c r="M415" s="604"/>
    </row>
    <row r="416" spans="1:13" ht="18.75" x14ac:dyDescent="0.3">
      <c r="A416" s="604"/>
      <c r="B416" s="604"/>
      <c r="C416" s="604"/>
      <c r="D416" s="604"/>
      <c r="E416" s="604"/>
      <c r="F416" s="604"/>
      <c r="G416" s="604"/>
      <c r="H416" s="604"/>
      <c r="I416" s="604"/>
      <c r="J416" s="604"/>
      <c r="K416" s="604"/>
      <c r="L416" s="604"/>
      <c r="M416" s="604"/>
    </row>
    <row r="417" spans="1:13" ht="18.75" x14ac:dyDescent="0.3">
      <c r="A417" s="604"/>
      <c r="B417" s="604"/>
      <c r="C417" s="604"/>
      <c r="D417" s="604"/>
      <c r="E417" s="604"/>
      <c r="F417" s="604"/>
      <c r="G417" s="604"/>
      <c r="H417" s="604"/>
      <c r="I417" s="604"/>
      <c r="J417" s="604"/>
      <c r="K417" s="604"/>
      <c r="L417" s="604"/>
      <c r="M417" s="604"/>
    </row>
    <row r="418" spans="1:13" ht="18.75" x14ac:dyDescent="0.3">
      <c r="A418" s="604"/>
      <c r="B418" s="604"/>
      <c r="C418" s="604"/>
      <c r="D418" s="604"/>
      <c r="E418" s="604"/>
      <c r="F418" s="604"/>
      <c r="G418" s="604"/>
      <c r="H418" s="604"/>
      <c r="I418" s="604"/>
      <c r="J418" s="604"/>
      <c r="K418" s="604"/>
      <c r="L418" s="604"/>
      <c r="M418" s="604"/>
    </row>
    <row r="419" spans="1:13" ht="18.75" x14ac:dyDescent="0.3">
      <c r="A419" s="604"/>
      <c r="B419" s="604"/>
      <c r="C419" s="604"/>
      <c r="D419" s="604"/>
      <c r="E419" s="604"/>
      <c r="F419" s="604"/>
      <c r="G419" s="604"/>
      <c r="H419" s="604"/>
      <c r="I419" s="604"/>
      <c r="J419" s="604"/>
      <c r="K419" s="604"/>
      <c r="L419" s="604"/>
      <c r="M419" s="604"/>
    </row>
    <row r="420" spans="1:13" ht="18.75" x14ac:dyDescent="0.3">
      <c r="A420" s="604"/>
      <c r="B420" s="604"/>
      <c r="C420" s="604"/>
      <c r="D420" s="604"/>
      <c r="E420" s="604"/>
      <c r="F420" s="604"/>
      <c r="G420" s="604"/>
      <c r="H420" s="604"/>
      <c r="I420" s="604"/>
      <c r="J420" s="604"/>
      <c r="K420" s="604"/>
      <c r="L420" s="604"/>
      <c r="M420" s="604"/>
    </row>
    <row r="421" spans="1:13" ht="18.75" x14ac:dyDescent="0.3">
      <c r="A421" s="604"/>
      <c r="B421" s="604"/>
      <c r="C421" s="604"/>
      <c r="D421" s="604"/>
      <c r="E421" s="604"/>
      <c r="F421" s="604"/>
      <c r="G421" s="604"/>
      <c r="H421" s="604"/>
      <c r="I421" s="604"/>
      <c r="J421" s="604"/>
      <c r="K421" s="604"/>
      <c r="L421" s="604"/>
      <c r="M421" s="604"/>
    </row>
    <row r="422" spans="1:13" ht="18.75" x14ac:dyDescent="0.3">
      <c r="A422" s="604"/>
      <c r="B422" s="604"/>
      <c r="C422" s="604"/>
      <c r="D422" s="604"/>
      <c r="E422" s="604"/>
      <c r="F422" s="604"/>
      <c r="G422" s="604"/>
      <c r="H422" s="604"/>
      <c r="I422" s="604"/>
      <c r="J422" s="604"/>
      <c r="K422" s="604"/>
      <c r="L422" s="604"/>
      <c r="M422" s="604"/>
    </row>
    <row r="423" spans="1:13" ht="18.75" x14ac:dyDescent="0.3">
      <c r="A423" s="604"/>
      <c r="B423" s="604"/>
      <c r="C423" s="604"/>
      <c r="D423" s="604"/>
      <c r="E423" s="604"/>
      <c r="F423" s="604"/>
      <c r="G423" s="604"/>
      <c r="H423" s="604"/>
      <c r="I423" s="604"/>
      <c r="J423" s="604"/>
      <c r="K423" s="604"/>
      <c r="L423" s="604"/>
      <c r="M423" s="604"/>
    </row>
    <row r="424" spans="1:13" ht="18.75" x14ac:dyDescent="0.3">
      <c r="A424" s="604"/>
      <c r="B424" s="604"/>
      <c r="C424" s="604"/>
      <c r="D424" s="604"/>
      <c r="E424" s="604"/>
      <c r="F424" s="604"/>
      <c r="G424" s="604"/>
      <c r="H424" s="604"/>
      <c r="I424" s="604"/>
      <c r="J424" s="604"/>
      <c r="K424" s="604"/>
      <c r="L424" s="604"/>
      <c r="M424" s="604"/>
    </row>
    <row r="425" spans="1:13" ht="18.75" x14ac:dyDescent="0.3">
      <c r="A425" s="604"/>
      <c r="B425" s="604"/>
      <c r="C425" s="604"/>
      <c r="D425" s="604"/>
      <c r="E425" s="604"/>
      <c r="F425" s="604"/>
      <c r="G425" s="604"/>
      <c r="H425" s="604"/>
      <c r="I425" s="604"/>
      <c r="J425" s="604"/>
      <c r="K425" s="604"/>
      <c r="L425" s="604"/>
      <c r="M425" s="604"/>
    </row>
    <row r="426" spans="1:13" ht="18.75" x14ac:dyDescent="0.3">
      <c r="A426" s="604"/>
      <c r="B426" s="604"/>
      <c r="C426" s="604"/>
      <c r="D426" s="604"/>
      <c r="E426" s="604"/>
      <c r="F426" s="604"/>
      <c r="G426" s="604"/>
      <c r="H426" s="604"/>
      <c r="I426" s="604"/>
      <c r="J426" s="604"/>
      <c r="K426" s="604"/>
      <c r="L426" s="604"/>
      <c r="M426" s="604"/>
    </row>
    <row r="427" spans="1:13" ht="18.75" x14ac:dyDescent="0.3">
      <c r="A427" s="604"/>
      <c r="B427" s="604"/>
      <c r="C427" s="604"/>
      <c r="D427" s="604"/>
      <c r="E427" s="604"/>
      <c r="F427" s="604"/>
      <c r="G427" s="604"/>
      <c r="H427" s="604"/>
      <c r="I427" s="604"/>
      <c r="J427" s="604"/>
      <c r="K427" s="604"/>
      <c r="L427" s="604"/>
      <c r="M427" s="604"/>
    </row>
    <row r="428" spans="1:13" ht="18.75" x14ac:dyDescent="0.3">
      <c r="A428" s="604"/>
      <c r="B428" s="604"/>
      <c r="C428" s="604"/>
      <c r="D428" s="604"/>
      <c r="E428" s="604"/>
      <c r="F428" s="604"/>
      <c r="G428" s="604"/>
      <c r="H428" s="604"/>
      <c r="I428" s="604"/>
      <c r="J428" s="604"/>
      <c r="K428" s="604"/>
      <c r="L428" s="604"/>
      <c r="M428" s="604"/>
    </row>
    <row r="429" spans="1:13" ht="18.75" x14ac:dyDescent="0.3">
      <c r="A429" s="604"/>
      <c r="B429" s="604"/>
      <c r="C429" s="604"/>
      <c r="D429" s="604"/>
      <c r="E429" s="604"/>
      <c r="F429" s="604"/>
      <c r="G429" s="604"/>
      <c r="H429" s="604"/>
      <c r="I429" s="604"/>
      <c r="J429" s="604"/>
      <c r="K429" s="604"/>
      <c r="L429" s="604"/>
      <c r="M429" s="604"/>
    </row>
    <row r="430" spans="1:13" ht="18.75" x14ac:dyDescent="0.3">
      <c r="A430" s="604"/>
      <c r="B430" s="604"/>
      <c r="C430" s="604"/>
      <c r="D430" s="604"/>
      <c r="E430" s="604"/>
      <c r="F430" s="604"/>
      <c r="G430" s="604"/>
      <c r="H430" s="604"/>
      <c r="I430" s="604"/>
      <c r="J430" s="604"/>
      <c r="K430" s="604"/>
      <c r="L430" s="604"/>
      <c r="M430" s="604"/>
    </row>
    <row r="431" spans="1:13" ht="18.75" x14ac:dyDescent="0.3">
      <c r="A431" s="604"/>
      <c r="B431" s="604"/>
      <c r="C431" s="604"/>
      <c r="D431" s="604"/>
      <c r="E431" s="604"/>
      <c r="F431" s="604"/>
      <c r="G431" s="604"/>
      <c r="H431" s="604"/>
      <c r="I431" s="604"/>
      <c r="J431" s="604"/>
      <c r="K431" s="604"/>
      <c r="L431" s="604"/>
      <c r="M431" s="604"/>
    </row>
    <row r="432" spans="1:13" ht="18.75" x14ac:dyDescent="0.3">
      <c r="A432" s="604"/>
      <c r="B432" s="604"/>
      <c r="C432" s="604"/>
      <c r="D432" s="604"/>
      <c r="E432" s="604"/>
      <c r="F432" s="604"/>
      <c r="G432" s="604"/>
      <c r="H432" s="604"/>
      <c r="I432" s="604"/>
      <c r="J432" s="604"/>
      <c r="K432" s="604"/>
      <c r="L432" s="604"/>
      <c r="M432" s="604"/>
    </row>
    <row r="433" spans="1:13" ht="18.75" x14ac:dyDescent="0.3">
      <c r="A433" s="604"/>
      <c r="B433" s="604"/>
      <c r="C433" s="604"/>
      <c r="D433" s="604"/>
      <c r="E433" s="604"/>
      <c r="F433" s="604"/>
      <c r="G433" s="604"/>
      <c r="H433" s="604"/>
      <c r="I433" s="604"/>
      <c r="J433" s="604"/>
      <c r="K433" s="604"/>
      <c r="L433" s="604"/>
      <c r="M433" s="604"/>
    </row>
    <row r="434" spans="1:13" ht="18.75" x14ac:dyDescent="0.3">
      <c r="A434" s="604"/>
      <c r="B434" s="604"/>
      <c r="C434" s="604"/>
      <c r="D434" s="604"/>
      <c r="E434" s="604"/>
      <c r="F434" s="604"/>
      <c r="G434" s="604"/>
      <c r="H434" s="604"/>
      <c r="I434" s="604"/>
      <c r="J434" s="604"/>
      <c r="K434" s="604"/>
      <c r="L434" s="604"/>
      <c r="M434" s="604"/>
    </row>
    <row r="435" spans="1:13" ht="18.75" x14ac:dyDescent="0.3">
      <c r="A435" s="604"/>
      <c r="B435" s="604"/>
      <c r="C435" s="604"/>
      <c r="D435" s="604"/>
      <c r="E435" s="604"/>
      <c r="F435" s="604"/>
      <c r="G435" s="604"/>
      <c r="H435" s="604"/>
      <c r="I435" s="604"/>
      <c r="J435" s="604"/>
      <c r="K435" s="604"/>
      <c r="L435" s="604"/>
      <c r="M435" s="604"/>
    </row>
    <row r="436" spans="1:13" ht="18.75" x14ac:dyDescent="0.3">
      <c r="A436" s="604"/>
      <c r="B436" s="604"/>
      <c r="C436" s="604"/>
      <c r="D436" s="604"/>
      <c r="E436" s="604"/>
      <c r="F436" s="604"/>
      <c r="G436" s="604"/>
      <c r="H436" s="604"/>
      <c r="I436" s="604"/>
      <c r="J436" s="604"/>
      <c r="K436" s="604"/>
      <c r="L436" s="604"/>
      <c r="M436" s="604"/>
    </row>
    <row r="437" spans="1:13" ht="18.75" x14ac:dyDescent="0.3">
      <c r="A437" s="604"/>
      <c r="B437" s="604"/>
      <c r="C437" s="604"/>
      <c r="D437" s="604"/>
      <c r="E437" s="604"/>
      <c r="F437" s="604"/>
      <c r="G437" s="604"/>
      <c r="H437" s="604"/>
      <c r="I437" s="604"/>
      <c r="J437" s="604"/>
      <c r="K437" s="604"/>
      <c r="L437" s="604"/>
      <c r="M437" s="604"/>
    </row>
    <row r="438" spans="1:13" ht="18.75" x14ac:dyDescent="0.3">
      <c r="A438" s="604"/>
      <c r="B438" s="604"/>
      <c r="C438" s="604"/>
      <c r="D438" s="604"/>
      <c r="E438" s="604"/>
      <c r="F438" s="604"/>
      <c r="G438" s="604"/>
      <c r="H438" s="604"/>
      <c r="I438" s="604"/>
      <c r="J438" s="604"/>
      <c r="K438" s="604"/>
      <c r="L438" s="604"/>
      <c r="M438" s="604"/>
    </row>
    <row r="439" spans="1:13" ht="18.75" x14ac:dyDescent="0.3">
      <c r="A439" s="604"/>
      <c r="B439" s="604"/>
      <c r="C439" s="604"/>
      <c r="D439" s="604"/>
      <c r="E439" s="604"/>
      <c r="F439" s="604"/>
      <c r="G439" s="604"/>
      <c r="H439" s="604"/>
      <c r="I439" s="604"/>
      <c r="J439" s="604"/>
      <c r="K439" s="604"/>
      <c r="L439" s="604"/>
      <c r="M439" s="604"/>
    </row>
    <row r="440" spans="1:13" ht="18.75" x14ac:dyDescent="0.3">
      <c r="A440" s="604"/>
      <c r="B440" s="604"/>
      <c r="C440" s="604"/>
      <c r="D440" s="604"/>
      <c r="E440" s="604"/>
      <c r="F440" s="604"/>
      <c r="G440" s="604"/>
      <c r="H440" s="604"/>
      <c r="I440" s="604"/>
      <c r="J440" s="604"/>
      <c r="K440" s="604"/>
      <c r="L440" s="604"/>
      <c r="M440" s="604"/>
    </row>
    <row r="441" spans="1:13" ht="18.75" x14ac:dyDescent="0.3">
      <c r="A441" s="604"/>
      <c r="B441" s="604"/>
      <c r="C441" s="604"/>
      <c r="D441" s="604"/>
      <c r="E441" s="604"/>
      <c r="F441" s="604"/>
      <c r="G441" s="604"/>
      <c r="H441" s="604"/>
      <c r="I441" s="604"/>
      <c r="J441" s="604"/>
      <c r="K441" s="604"/>
      <c r="L441" s="604"/>
      <c r="M441" s="604"/>
    </row>
    <row r="442" spans="1:13" ht="18.75" x14ac:dyDescent="0.3">
      <c r="A442" s="604"/>
      <c r="B442" s="604"/>
      <c r="C442" s="604"/>
      <c r="D442" s="604"/>
      <c r="E442" s="604"/>
      <c r="F442" s="604"/>
      <c r="G442" s="604"/>
      <c r="H442" s="604"/>
      <c r="I442" s="604"/>
      <c r="J442" s="604"/>
      <c r="K442" s="604"/>
      <c r="L442" s="604"/>
      <c r="M442" s="604"/>
    </row>
    <row r="443" spans="1:13" ht="18.75" x14ac:dyDescent="0.3">
      <c r="A443" s="604"/>
      <c r="B443" s="604"/>
      <c r="C443" s="604"/>
      <c r="D443" s="604"/>
      <c r="E443" s="604"/>
      <c r="F443" s="604"/>
      <c r="G443" s="604"/>
      <c r="H443" s="604"/>
      <c r="I443" s="604"/>
      <c r="J443" s="604"/>
      <c r="K443" s="604"/>
      <c r="L443" s="604"/>
      <c r="M443" s="604"/>
    </row>
    <row r="444" spans="1:13" ht="18.75" x14ac:dyDescent="0.3">
      <c r="A444" s="604"/>
      <c r="B444" s="604"/>
      <c r="C444" s="604"/>
      <c r="D444" s="604"/>
      <c r="E444" s="604"/>
      <c r="F444" s="604"/>
      <c r="G444" s="604"/>
      <c r="H444" s="604"/>
      <c r="I444" s="604"/>
      <c r="J444" s="604"/>
      <c r="K444" s="604"/>
      <c r="L444" s="604"/>
      <c r="M444" s="604"/>
    </row>
    <row r="445" spans="1:13" ht="18.75" x14ac:dyDescent="0.3">
      <c r="A445" s="604"/>
      <c r="B445" s="604"/>
      <c r="C445" s="604"/>
      <c r="D445" s="604"/>
      <c r="E445" s="604"/>
      <c r="F445" s="604"/>
      <c r="G445" s="604"/>
      <c r="H445" s="604"/>
      <c r="I445" s="604"/>
      <c r="J445" s="604"/>
      <c r="K445" s="604"/>
      <c r="L445" s="604"/>
      <c r="M445" s="604"/>
    </row>
    <row r="446" spans="1:13" ht="18.75" x14ac:dyDescent="0.3">
      <c r="A446" s="604"/>
      <c r="B446" s="604"/>
      <c r="C446" s="604"/>
      <c r="D446" s="604"/>
      <c r="E446" s="604"/>
      <c r="F446" s="604"/>
      <c r="G446" s="604"/>
      <c r="H446" s="604"/>
      <c r="I446" s="604"/>
      <c r="J446" s="604"/>
      <c r="K446" s="604"/>
      <c r="L446" s="604"/>
      <c r="M446" s="604"/>
    </row>
    <row r="447" spans="1:13" ht="18.75" x14ac:dyDescent="0.3">
      <c r="A447" s="604"/>
      <c r="B447" s="604"/>
      <c r="C447" s="604"/>
      <c r="D447" s="604"/>
      <c r="E447" s="604"/>
      <c r="F447" s="604"/>
      <c r="G447" s="604"/>
      <c r="H447" s="604"/>
      <c r="I447" s="604"/>
      <c r="J447" s="604"/>
      <c r="K447" s="604"/>
      <c r="L447" s="604"/>
      <c r="M447" s="604"/>
    </row>
    <row r="448" spans="1:13" ht="18.75" x14ac:dyDescent="0.3">
      <c r="A448" s="604"/>
      <c r="B448" s="604"/>
      <c r="C448" s="604"/>
      <c r="D448" s="604"/>
      <c r="E448" s="604"/>
      <c r="F448" s="604"/>
      <c r="G448" s="604"/>
      <c r="H448" s="604"/>
      <c r="I448" s="604"/>
      <c r="J448" s="604"/>
      <c r="K448" s="604"/>
      <c r="L448" s="604"/>
      <c r="M448" s="604"/>
    </row>
    <row r="449" spans="1:13" ht="18.75" x14ac:dyDescent="0.3">
      <c r="A449" s="604"/>
      <c r="B449" s="604"/>
      <c r="C449" s="604"/>
      <c r="D449" s="604"/>
      <c r="E449" s="604"/>
      <c r="F449" s="604"/>
      <c r="G449" s="604"/>
      <c r="H449" s="604"/>
      <c r="I449" s="604"/>
      <c r="J449" s="604"/>
      <c r="K449" s="604"/>
      <c r="L449" s="604"/>
      <c r="M449" s="604"/>
    </row>
    <row r="450" spans="1:13" ht="18.75" x14ac:dyDescent="0.3">
      <c r="A450" s="604"/>
      <c r="B450" s="604"/>
      <c r="C450" s="604"/>
      <c r="D450" s="604"/>
      <c r="E450" s="604"/>
      <c r="F450" s="604"/>
      <c r="G450" s="604"/>
      <c r="H450" s="604"/>
      <c r="I450" s="604"/>
      <c r="J450" s="604"/>
      <c r="K450" s="604"/>
      <c r="L450" s="604"/>
      <c r="M450" s="604"/>
    </row>
    <row r="451" spans="1:13" ht="18.75" x14ac:dyDescent="0.3">
      <c r="A451" s="604"/>
      <c r="B451" s="604"/>
      <c r="C451" s="604"/>
      <c r="D451" s="604"/>
      <c r="E451" s="604"/>
      <c r="F451" s="604"/>
      <c r="G451" s="604"/>
      <c r="H451" s="604"/>
      <c r="I451" s="604"/>
      <c r="J451" s="604"/>
      <c r="K451" s="604"/>
      <c r="L451" s="604"/>
      <c r="M451" s="604"/>
    </row>
    <row r="452" spans="1:13" ht="18.75" x14ac:dyDescent="0.3">
      <c r="A452" s="604"/>
      <c r="B452" s="604"/>
      <c r="C452" s="604"/>
      <c r="D452" s="604"/>
      <c r="E452" s="604"/>
      <c r="F452" s="604"/>
      <c r="G452" s="604"/>
      <c r="H452" s="604"/>
      <c r="I452" s="604"/>
      <c r="J452" s="604"/>
      <c r="K452" s="604"/>
      <c r="L452" s="604"/>
      <c r="M452" s="604"/>
    </row>
    <row r="453" spans="1:13" ht="18.75" x14ac:dyDescent="0.3">
      <c r="A453" s="604"/>
      <c r="B453" s="604"/>
      <c r="C453" s="604"/>
      <c r="D453" s="604"/>
      <c r="E453" s="604"/>
      <c r="F453" s="604"/>
      <c r="G453" s="604"/>
      <c r="H453" s="604"/>
      <c r="I453" s="604"/>
      <c r="J453" s="604"/>
      <c r="K453" s="604"/>
      <c r="L453" s="604"/>
      <c r="M453" s="604"/>
    </row>
    <row r="454" spans="1:13" ht="18.75" x14ac:dyDescent="0.3">
      <c r="A454" s="604"/>
      <c r="B454" s="604"/>
      <c r="C454" s="604"/>
      <c r="D454" s="604"/>
      <c r="E454" s="604"/>
      <c r="F454" s="604"/>
      <c r="G454" s="604"/>
      <c r="H454" s="604"/>
      <c r="I454" s="604"/>
      <c r="J454" s="604"/>
      <c r="K454" s="604"/>
      <c r="L454" s="604"/>
      <c r="M454" s="604"/>
    </row>
    <row r="455" spans="1:13" ht="18.75" x14ac:dyDescent="0.3">
      <c r="A455" s="604"/>
      <c r="B455" s="604"/>
      <c r="C455" s="604"/>
      <c r="D455" s="604"/>
      <c r="E455" s="604"/>
      <c r="F455" s="604"/>
      <c r="G455" s="604"/>
      <c r="H455" s="604"/>
      <c r="I455" s="604"/>
      <c r="J455" s="604"/>
      <c r="K455" s="604"/>
      <c r="L455" s="604"/>
      <c r="M455" s="604"/>
    </row>
    <row r="456" spans="1:13" ht="18.75" x14ac:dyDescent="0.3">
      <c r="A456" s="604"/>
      <c r="B456" s="604"/>
      <c r="C456" s="604"/>
      <c r="D456" s="604"/>
      <c r="E456" s="604"/>
      <c r="F456" s="604"/>
      <c r="G456" s="604"/>
      <c r="H456" s="604"/>
      <c r="I456" s="604"/>
      <c r="J456" s="604"/>
      <c r="K456" s="604"/>
      <c r="L456" s="604"/>
      <c r="M456" s="604"/>
    </row>
    <row r="457" spans="1:13" ht="18.75" x14ac:dyDescent="0.3">
      <c r="A457" s="604"/>
      <c r="B457" s="604"/>
      <c r="C457" s="604"/>
      <c r="D457" s="604"/>
      <c r="E457" s="604"/>
      <c r="F457" s="604"/>
      <c r="G457" s="604"/>
      <c r="H457" s="604"/>
      <c r="I457" s="604"/>
      <c r="J457" s="604"/>
      <c r="K457" s="604"/>
      <c r="L457" s="604"/>
      <c r="M457" s="604"/>
    </row>
    <row r="458" spans="1:13" ht="18.75" x14ac:dyDescent="0.3">
      <c r="A458" s="604"/>
      <c r="B458" s="604"/>
      <c r="C458" s="604"/>
      <c r="D458" s="604"/>
      <c r="E458" s="604"/>
      <c r="F458" s="604"/>
      <c r="G458" s="604"/>
      <c r="H458" s="604"/>
      <c r="I458" s="604"/>
      <c r="J458" s="604"/>
      <c r="K458" s="604"/>
      <c r="L458" s="604"/>
      <c r="M458" s="604"/>
    </row>
    <row r="459" spans="1:13" ht="18.75" x14ac:dyDescent="0.3">
      <c r="A459" s="604"/>
      <c r="B459" s="604"/>
      <c r="C459" s="604"/>
      <c r="D459" s="604"/>
      <c r="E459" s="604"/>
      <c r="F459" s="604"/>
      <c r="G459" s="604"/>
      <c r="H459" s="604"/>
      <c r="I459" s="604"/>
      <c r="J459" s="604"/>
      <c r="K459" s="604"/>
      <c r="L459" s="604"/>
      <c r="M459" s="604"/>
    </row>
    <row r="460" spans="1:13" ht="18.75" x14ac:dyDescent="0.3">
      <c r="A460" s="604"/>
      <c r="B460" s="604"/>
      <c r="C460" s="604"/>
      <c r="D460" s="604"/>
      <c r="E460" s="604"/>
      <c r="F460" s="604"/>
      <c r="G460" s="604"/>
      <c r="H460" s="604"/>
      <c r="I460" s="604"/>
      <c r="J460" s="604"/>
      <c r="K460" s="604"/>
      <c r="L460" s="604"/>
      <c r="M460" s="604"/>
    </row>
    <row r="461" spans="1:13" ht="18.75" x14ac:dyDescent="0.3">
      <c r="A461" s="604"/>
      <c r="B461" s="604"/>
      <c r="C461" s="604"/>
      <c r="D461" s="604"/>
      <c r="E461" s="604"/>
      <c r="F461" s="604"/>
      <c r="G461" s="604"/>
      <c r="H461" s="604"/>
      <c r="I461" s="604"/>
      <c r="J461" s="604"/>
      <c r="K461" s="604"/>
      <c r="L461" s="604"/>
      <c r="M461" s="604"/>
    </row>
    <row r="462" spans="1:13" ht="18.75" x14ac:dyDescent="0.3">
      <c r="A462" s="604"/>
      <c r="B462" s="604"/>
      <c r="C462" s="604"/>
      <c r="D462" s="604"/>
      <c r="E462" s="604"/>
      <c r="F462" s="604"/>
      <c r="G462" s="604"/>
      <c r="H462" s="604"/>
      <c r="I462" s="604"/>
      <c r="J462" s="604"/>
      <c r="K462" s="604"/>
      <c r="L462" s="604"/>
      <c r="M462" s="604"/>
    </row>
    <row r="463" spans="1:13" ht="18.75" x14ac:dyDescent="0.3">
      <c r="A463" s="604"/>
      <c r="B463" s="604"/>
      <c r="C463" s="604"/>
      <c r="D463" s="604"/>
      <c r="E463" s="604"/>
      <c r="F463" s="604"/>
      <c r="G463" s="604"/>
      <c r="H463" s="604"/>
      <c r="I463" s="604"/>
      <c r="J463" s="604"/>
      <c r="K463" s="604"/>
      <c r="L463" s="604"/>
      <c r="M463" s="604"/>
    </row>
    <row r="464" spans="1:13" ht="18.75" x14ac:dyDescent="0.3">
      <c r="A464" s="604"/>
      <c r="B464" s="604"/>
      <c r="C464" s="604"/>
      <c r="D464" s="604"/>
      <c r="E464" s="604"/>
      <c r="F464" s="604"/>
      <c r="G464" s="604"/>
      <c r="H464" s="604"/>
      <c r="I464" s="604"/>
      <c r="J464" s="604"/>
      <c r="K464" s="604"/>
      <c r="L464" s="604"/>
      <c r="M464" s="604"/>
    </row>
    <row r="465" spans="1:13" ht="18.75" x14ac:dyDescent="0.3">
      <c r="A465" s="604"/>
      <c r="B465" s="604"/>
      <c r="C465" s="604"/>
      <c r="D465" s="604"/>
      <c r="E465" s="604"/>
      <c r="F465" s="604"/>
      <c r="G465" s="604"/>
      <c r="H465" s="604"/>
      <c r="I465" s="604"/>
      <c r="J465" s="604"/>
      <c r="K465" s="604"/>
      <c r="L465" s="604"/>
      <c r="M465" s="604"/>
    </row>
    <row r="466" spans="1:13" ht="18.75" x14ac:dyDescent="0.3">
      <c r="A466" s="604"/>
      <c r="B466" s="604"/>
      <c r="C466" s="604"/>
      <c r="D466" s="604"/>
      <c r="E466" s="604"/>
      <c r="F466" s="604"/>
      <c r="G466" s="604"/>
      <c r="H466" s="604"/>
      <c r="I466" s="604"/>
      <c r="J466" s="604"/>
      <c r="K466" s="604"/>
      <c r="L466" s="604"/>
      <c r="M466" s="604"/>
    </row>
    <row r="467" spans="1:13" ht="18.75" x14ac:dyDescent="0.3">
      <c r="A467" s="604"/>
      <c r="B467" s="604"/>
      <c r="C467" s="604"/>
      <c r="D467" s="604"/>
      <c r="E467" s="604"/>
      <c r="F467" s="604"/>
      <c r="G467" s="604"/>
      <c r="H467" s="604"/>
      <c r="I467" s="604"/>
      <c r="J467" s="604"/>
      <c r="K467" s="604"/>
      <c r="L467" s="604"/>
      <c r="M467" s="604"/>
    </row>
    <row r="468" spans="1:13" ht="18.75" x14ac:dyDescent="0.3">
      <c r="A468" s="604"/>
      <c r="B468" s="604"/>
      <c r="C468" s="604"/>
      <c r="D468" s="604"/>
      <c r="E468" s="604"/>
      <c r="F468" s="604"/>
      <c r="G468" s="604"/>
      <c r="H468" s="604"/>
      <c r="I468" s="604"/>
      <c r="J468" s="604"/>
      <c r="K468" s="604"/>
      <c r="L468" s="604"/>
      <c r="M468" s="604"/>
    </row>
    <row r="469" spans="1:13" ht="18.75" x14ac:dyDescent="0.3">
      <c r="A469" s="604"/>
      <c r="B469" s="604"/>
      <c r="C469" s="604"/>
      <c r="D469" s="604"/>
      <c r="E469" s="604"/>
      <c r="F469" s="604"/>
      <c r="G469" s="604"/>
      <c r="H469" s="604"/>
      <c r="I469" s="604"/>
      <c r="J469" s="604"/>
      <c r="K469" s="604"/>
      <c r="L469" s="604"/>
      <c r="M469" s="604"/>
    </row>
    <row r="470" spans="1:13" ht="18.75" x14ac:dyDescent="0.3">
      <c r="A470" s="604"/>
      <c r="B470" s="604"/>
      <c r="C470" s="604"/>
      <c r="D470" s="604"/>
      <c r="E470" s="604"/>
      <c r="F470" s="604"/>
      <c r="G470" s="604"/>
      <c r="H470" s="604"/>
      <c r="I470" s="604"/>
      <c r="J470" s="604"/>
      <c r="K470" s="604"/>
      <c r="L470" s="604"/>
      <c r="M470" s="604"/>
    </row>
    <row r="471" spans="1:13" ht="18.75" x14ac:dyDescent="0.3">
      <c r="A471" s="604"/>
      <c r="B471" s="604"/>
      <c r="C471" s="604"/>
      <c r="D471" s="604"/>
      <c r="E471" s="604"/>
      <c r="F471" s="604"/>
      <c r="G471" s="604"/>
      <c r="H471" s="604"/>
      <c r="I471" s="604"/>
      <c r="J471" s="604"/>
      <c r="K471" s="604"/>
      <c r="L471" s="604"/>
      <c r="M471" s="604"/>
    </row>
    <row r="472" spans="1:13" ht="18.75" x14ac:dyDescent="0.3">
      <c r="A472" s="604"/>
      <c r="B472" s="604"/>
      <c r="C472" s="604"/>
      <c r="D472" s="604"/>
      <c r="E472" s="604"/>
      <c r="F472" s="604"/>
      <c r="G472" s="604"/>
      <c r="H472" s="604"/>
      <c r="I472" s="604"/>
      <c r="J472" s="604"/>
      <c r="K472" s="604"/>
      <c r="L472" s="604"/>
      <c r="M472" s="604"/>
    </row>
    <row r="473" spans="1:13" ht="18.75" x14ac:dyDescent="0.3">
      <c r="A473" s="604"/>
      <c r="B473" s="604"/>
      <c r="C473" s="604"/>
      <c r="D473" s="604"/>
      <c r="E473" s="604"/>
      <c r="F473" s="604"/>
      <c r="G473" s="604"/>
      <c r="H473" s="604"/>
      <c r="I473" s="604"/>
      <c r="J473" s="604"/>
      <c r="K473" s="604"/>
      <c r="L473" s="604"/>
      <c r="M473" s="604"/>
    </row>
    <row r="474" spans="1:13" ht="18.75" x14ac:dyDescent="0.3">
      <c r="A474" s="604"/>
      <c r="B474" s="604"/>
      <c r="C474" s="604"/>
      <c r="D474" s="604"/>
      <c r="E474" s="604"/>
      <c r="F474" s="604"/>
      <c r="G474" s="604"/>
      <c r="H474" s="604"/>
      <c r="I474" s="604"/>
      <c r="J474" s="604"/>
      <c r="K474" s="604"/>
      <c r="L474" s="604"/>
      <c r="M474" s="604"/>
    </row>
    <row r="475" spans="1:13" ht="18.75" x14ac:dyDescent="0.3">
      <c r="A475" s="604"/>
      <c r="B475" s="604"/>
      <c r="C475" s="604"/>
      <c r="D475" s="604"/>
      <c r="E475" s="604"/>
      <c r="F475" s="604"/>
      <c r="G475" s="604"/>
      <c r="H475" s="604"/>
      <c r="I475" s="604"/>
      <c r="J475" s="604"/>
      <c r="K475" s="604"/>
      <c r="L475" s="604"/>
      <c r="M475" s="604"/>
    </row>
    <row r="476" spans="1:13" ht="18.75" x14ac:dyDescent="0.3">
      <c r="A476" s="604"/>
      <c r="B476" s="604"/>
      <c r="C476" s="604"/>
      <c r="D476" s="604"/>
      <c r="E476" s="604"/>
      <c r="F476" s="604"/>
      <c r="G476" s="604"/>
      <c r="H476" s="604"/>
      <c r="I476" s="604"/>
      <c r="J476" s="604"/>
      <c r="K476" s="604"/>
      <c r="L476" s="604"/>
      <c r="M476" s="604"/>
    </row>
    <row r="477" spans="1:13" ht="18.75" x14ac:dyDescent="0.3">
      <c r="A477" s="604"/>
      <c r="B477" s="604"/>
      <c r="C477" s="604"/>
      <c r="D477" s="604"/>
      <c r="E477" s="604"/>
      <c r="F477" s="604"/>
      <c r="G477" s="604"/>
      <c r="H477" s="604"/>
      <c r="I477" s="604"/>
      <c r="J477" s="604"/>
      <c r="K477" s="604"/>
      <c r="L477" s="604"/>
      <c r="M477" s="604"/>
    </row>
    <row r="478" spans="1:13" ht="18.75" x14ac:dyDescent="0.3">
      <c r="A478" s="604"/>
      <c r="B478" s="604"/>
      <c r="C478" s="604"/>
      <c r="D478" s="604"/>
      <c r="E478" s="604"/>
      <c r="F478" s="604"/>
      <c r="G478" s="604"/>
      <c r="H478" s="604"/>
      <c r="I478" s="604"/>
      <c r="J478" s="604"/>
      <c r="K478" s="604"/>
      <c r="L478" s="604"/>
      <c r="M478" s="604"/>
    </row>
    <row r="479" spans="1:13" ht="18.75" x14ac:dyDescent="0.3">
      <c r="A479" s="604"/>
      <c r="B479" s="604"/>
      <c r="C479" s="604"/>
      <c r="D479" s="604"/>
      <c r="E479" s="604"/>
      <c r="F479" s="604"/>
      <c r="G479" s="604"/>
      <c r="H479" s="604"/>
      <c r="I479" s="604"/>
      <c r="J479" s="604"/>
      <c r="K479" s="604"/>
      <c r="L479" s="604"/>
      <c r="M479" s="604"/>
    </row>
    <row r="480" spans="1:13" ht="18.75" x14ac:dyDescent="0.3">
      <c r="A480" s="604"/>
      <c r="B480" s="604"/>
      <c r="C480" s="604"/>
      <c r="D480" s="604"/>
      <c r="E480" s="604"/>
      <c r="F480" s="604"/>
      <c r="G480" s="604"/>
      <c r="H480" s="604"/>
      <c r="I480" s="604"/>
      <c r="J480" s="604"/>
      <c r="K480" s="604"/>
      <c r="L480" s="604"/>
      <c r="M480" s="604"/>
    </row>
    <row r="481" spans="1:13" ht="18.75" x14ac:dyDescent="0.3">
      <c r="A481" s="604"/>
      <c r="B481" s="604"/>
      <c r="C481" s="604"/>
      <c r="D481" s="604"/>
      <c r="E481" s="604"/>
      <c r="F481" s="604"/>
      <c r="G481" s="604"/>
      <c r="H481" s="604"/>
      <c r="I481" s="604"/>
      <c r="J481" s="604"/>
      <c r="K481" s="604"/>
      <c r="L481" s="604"/>
      <c r="M481" s="604"/>
    </row>
    <row r="482" spans="1:13" ht="18.75" x14ac:dyDescent="0.3">
      <c r="A482" s="604"/>
      <c r="B482" s="604"/>
      <c r="C482" s="604"/>
      <c r="D482" s="604"/>
      <c r="E482" s="604"/>
      <c r="F482" s="604"/>
      <c r="G482" s="604"/>
      <c r="H482" s="604"/>
      <c r="I482" s="604"/>
      <c r="J482" s="604"/>
      <c r="K482" s="604"/>
      <c r="L482" s="604"/>
      <c r="M482" s="604"/>
    </row>
    <row r="483" spans="1:13" ht="18.75" x14ac:dyDescent="0.3">
      <c r="A483" s="604"/>
      <c r="B483" s="604"/>
      <c r="C483" s="604"/>
      <c r="D483" s="604"/>
      <c r="E483" s="604"/>
      <c r="F483" s="604"/>
      <c r="G483" s="604"/>
      <c r="H483" s="604"/>
      <c r="I483" s="604"/>
      <c r="J483" s="604"/>
      <c r="K483" s="604"/>
      <c r="L483" s="604"/>
      <c r="M483" s="604"/>
    </row>
    <row r="484" spans="1:13" ht="18.75" x14ac:dyDescent="0.3">
      <c r="A484" s="604"/>
      <c r="B484" s="604"/>
      <c r="C484" s="604"/>
      <c r="D484" s="604"/>
      <c r="E484" s="604"/>
      <c r="F484" s="604"/>
      <c r="G484" s="604"/>
      <c r="H484" s="604"/>
      <c r="I484" s="604"/>
      <c r="J484" s="604"/>
      <c r="K484" s="604"/>
      <c r="L484" s="604"/>
      <c r="M484" s="604"/>
    </row>
    <row r="485" spans="1:13" ht="18.75" x14ac:dyDescent="0.3">
      <c r="A485" s="604"/>
      <c r="B485" s="604"/>
      <c r="C485" s="604"/>
      <c r="D485" s="604"/>
      <c r="E485" s="604"/>
      <c r="F485" s="604"/>
      <c r="G485" s="604"/>
      <c r="H485" s="604"/>
      <c r="I485" s="604"/>
      <c r="J485" s="604"/>
      <c r="K485" s="604"/>
      <c r="L485" s="604"/>
      <c r="M485" s="604"/>
    </row>
    <row r="486" spans="1:13" ht="18.75" x14ac:dyDescent="0.3">
      <c r="A486" s="604"/>
      <c r="B486" s="604"/>
      <c r="C486" s="604"/>
      <c r="D486" s="604"/>
      <c r="E486" s="604"/>
      <c r="F486" s="604"/>
      <c r="G486" s="604"/>
      <c r="H486" s="604"/>
      <c r="I486" s="604"/>
      <c r="J486" s="604"/>
      <c r="K486" s="604"/>
      <c r="L486" s="604"/>
      <c r="M486" s="604"/>
    </row>
    <row r="487" spans="1:13" ht="18.75" x14ac:dyDescent="0.3">
      <c r="A487" s="604"/>
      <c r="B487" s="604"/>
      <c r="C487" s="604"/>
      <c r="D487" s="604"/>
      <c r="E487" s="604"/>
      <c r="F487" s="604"/>
      <c r="G487" s="604"/>
      <c r="H487" s="604"/>
      <c r="I487" s="604"/>
      <c r="J487" s="604"/>
      <c r="K487" s="604"/>
      <c r="L487" s="604"/>
      <c r="M487" s="604"/>
    </row>
    <row r="488" spans="1:13" ht="18.75" x14ac:dyDescent="0.3">
      <c r="A488" s="604"/>
      <c r="B488" s="604"/>
      <c r="C488" s="604"/>
      <c r="D488" s="604"/>
      <c r="E488" s="604"/>
      <c r="F488" s="604"/>
      <c r="G488" s="604"/>
      <c r="H488" s="604"/>
      <c r="I488" s="604"/>
      <c r="J488" s="604"/>
      <c r="K488" s="604"/>
      <c r="L488" s="604"/>
      <c r="M488" s="604"/>
    </row>
    <row r="489" spans="1:13" ht="18.75" x14ac:dyDescent="0.3">
      <c r="A489" s="604"/>
      <c r="B489" s="604"/>
      <c r="C489" s="604"/>
      <c r="D489" s="604"/>
      <c r="E489" s="604"/>
      <c r="F489" s="604"/>
      <c r="G489" s="604"/>
      <c r="H489" s="604"/>
      <c r="I489" s="604"/>
      <c r="J489" s="604"/>
      <c r="K489" s="604"/>
      <c r="L489" s="604"/>
      <c r="M489" s="604"/>
    </row>
    <row r="490" spans="1:13" ht="18.75" x14ac:dyDescent="0.3">
      <c r="A490" s="604"/>
      <c r="B490" s="604"/>
      <c r="C490" s="604"/>
      <c r="D490" s="604"/>
      <c r="E490" s="604"/>
      <c r="F490" s="604"/>
      <c r="G490" s="604"/>
      <c r="H490" s="604"/>
      <c r="I490" s="604"/>
      <c r="J490" s="604"/>
      <c r="K490" s="604"/>
      <c r="L490" s="604"/>
      <c r="M490" s="604"/>
    </row>
    <row r="491" spans="1:13" ht="18.75" x14ac:dyDescent="0.3">
      <c r="A491" s="604"/>
      <c r="B491" s="604"/>
      <c r="C491" s="604"/>
      <c r="D491" s="604"/>
      <c r="E491" s="604"/>
      <c r="F491" s="604"/>
      <c r="G491" s="604"/>
      <c r="H491" s="604"/>
      <c r="I491" s="604"/>
      <c r="J491" s="604"/>
      <c r="K491" s="604"/>
      <c r="L491" s="604"/>
      <c r="M491" s="604"/>
    </row>
    <row r="492" spans="1:13" ht="18.75" x14ac:dyDescent="0.3">
      <c r="A492" s="604"/>
      <c r="B492" s="604"/>
      <c r="C492" s="604"/>
      <c r="D492" s="604"/>
      <c r="E492" s="604"/>
      <c r="F492" s="604"/>
      <c r="G492" s="604"/>
      <c r="H492" s="604"/>
      <c r="I492" s="604"/>
      <c r="J492" s="604"/>
      <c r="K492" s="604"/>
      <c r="L492" s="604"/>
      <c r="M492" s="604"/>
    </row>
    <row r="493" spans="1:13" ht="18.75" x14ac:dyDescent="0.3">
      <c r="A493" s="604"/>
      <c r="B493" s="604"/>
      <c r="C493" s="604"/>
      <c r="D493" s="604"/>
      <c r="E493" s="604"/>
      <c r="F493" s="604"/>
      <c r="G493" s="604"/>
      <c r="H493" s="604"/>
      <c r="I493" s="604"/>
      <c r="J493" s="604"/>
      <c r="K493" s="604"/>
      <c r="L493" s="604"/>
      <c r="M493" s="604"/>
    </row>
    <row r="494" spans="1:13" ht="18.75" x14ac:dyDescent="0.3">
      <c r="A494" s="604"/>
      <c r="B494" s="604"/>
      <c r="C494" s="604"/>
      <c r="D494" s="604"/>
      <c r="E494" s="604"/>
      <c r="F494" s="604"/>
      <c r="G494" s="604"/>
      <c r="H494" s="604"/>
      <c r="I494" s="604"/>
      <c r="J494" s="604"/>
      <c r="K494" s="604"/>
      <c r="L494" s="604"/>
      <c r="M494" s="604"/>
    </row>
    <row r="495" spans="1:13" ht="18.75" x14ac:dyDescent="0.3">
      <c r="A495" s="604"/>
      <c r="B495" s="604"/>
      <c r="C495" s="604"/>
      <c r="D495" s="604"/>
      <c r="E495" s="604"/>
      <c r="F495" s="604"/>
      <c r="G495" s="604"/>
      <c r="H495" s="604"/>
      <c r="I495" s="604"/>
      <c r="J495" s="604"/>
      <c r="K495" s="604"/>
      <c r="L495" s="604"/>
      <c r="M495" s="604"/>
    </row>
    <row r="496" spans="1:13" ht="18.75" x14ac:dyDescent="0.3">
      <c r="A496" s="604"/>
      <c r="B496" s="604"/>
      <c r="C496" s="604"/>
      <c r="D496" s="604"/>
      <c r="E496" s="604"/>
      <c r="F496" s="604"/>
      <c r="G496" s="604"/>
      <c r="H496" s="604"/>
      <c r="I496" s="604"/>
      <c r="J496" s="604"/>
      <c r="K496" s="604"/>
      <c r="L496" s="604"/>
      <c r="M496" s="604"/>
    </row>
    <row r="497" spans="1:13" ht="18.75" x14ac:dyDescent="0.3">
      <c r="A497" s="604"/>
      <c r="B497" s="604"/>
      <c r="C497" s="604"/>
      <c r="D497" s="604"/>
      <c r="E497" s="604"/>
      <c r="F497" s="604"/>
      <c r="G497" s="604"/>
      <c r="H497" s="604"/>
      <c r="I497" s="604"/>
      <c r="J497" s="604"/>
      <c r="K497" s="604"/>
      <c r="L497" s="604"/>
      <c r="M497" s="604"/>
    </row>
    <row r="498" spans="1:13" ht="18.75" x14ac:dyDescent="0.3">
      <c r="A498" s="604"/>
      <c r="B498" s="604"/>
      <c r="C498" s="604"/>
      <c r="D498" s="604"/>
      <c r="E498" s="604"/>
      <c r="F498" s="604"/>
      <c r="G498" s="604"/>
      <c r="H498" s="604"/>
      <c r="I498" s="604"/>
      <c r="J498" s="604"/>
      <c r="K498" s="604"/>
      <c r="L498" s="604"/>
      <c r="M498" s="604"/>
    </row>
    <row r="499" spans="1:13" ht="18.75" x14ac:dyDescent="0.3">
      <c r="A499" s="604"/>
      <c r="B499" s="604"/>
      <c r="C499" s="604"/>
      <c r="D499" s="604"/>
      <c r="E499" s="604"/>
      <c r="F499" s="604"/>
      <c r="G499" s="604"/>
      <c r="H499" s="604"/>
      <c r="I499" s="604"/>
      <c r="J499" s="604"/>
      <c r="K499" s="604"/>
      <c r="L499" s="604"/>
      <c r="M499" s="604"/>
    </row>
    <row r="500" spans="1:13" ht="18.75" x14ac:dyDescent="0.3">
      <c r="A500" s="604"/>
      <c r="B500" s="604"/>
      <c r="C500" s="604"/>
      <c r="D500" s="604"/>
      <c r="E500" s="604"/>
      <c r="F500" s="604"/>
      <c r="G500" s="604"/>
      <c r="H500" s="604"/>
      <c r="I500" s="604"/>
      <c r="J500" s="604"/>
      <c r="K500" s="604"/>
      <c r="L500" s="604"/>
      <c r="M500" s="604"/>
    </row>
    <row r="501" spans="1:13" ht="18.75" x14ac:dyDescent="0.3">
      <c r="A501" s="604"/>
      <c r="B501" s="604"/>
      <c r="C501" s="604"/>
      <c r="D501" s="604"/>
      <c r="E501" s="604"/>
      <c r="F501" s="604"/>
      <c r="G501" s="604"/>
      <c r="H501" s="604"/>
      <c r="I501" s="604"/>
      <c r="J501" s="604"/>
      <c r="K501" s="604"/>
      <c r="L501" s="604"/>
      <c r="M501" s="604"/>
    </row>
    <row r="502" spans="1:13" ht="18.75" x14ac:dyDescent="0.3">
      <c r="A502" s="604"/>
      <c r="B502" s="604"/>
      <c r="C502" s="604"/>
      <c r="D502" s="604"/>
      <c r="E502" s="604"/>
      <c r="F502" s="604"/>
      <c r="G502" s="604"/>
      <c r="H502" s="604"/>
      <c r="I502" s="604"/>
      <c r="J502" s="604"/>
      <c r="K502" s="604"/>
      <c r="L502" s="604"/>
      <c r="M502" s="604"/>
    </row>
    <row r="503" spans="1:13" ht="18.75" x14ac:dyDescent="0.3">
      <c r="A503" s="604"/>
      <c r="B503" s="604"/>
      <c r="C503" s="604"/>
      <c r="D503" s="604"/>
      <c r="E503" s="604"/>
      <c r="F503" s="604"/>
      <c r="G503" s="604"/>
      <c r="H503" s="604"/>
      <c r="I503" s="604"/>
      <c r="J503" s="604"/>
      <c r="K503" s="604"/>
      <c r="L503" s="604"/>
      <c r="M503" s="604"/>
    </row>
    <row r="504" spans="1:13" ht="18.75" x14ac:dyDescent="0.3">
      <c r="A504" s="604"/>
      <c r="B504" s="604"/>
      <c r="C504" s="604"/>
      <c r="D504" s="604"/>
      <c r="E504" s="604"/>
      <c r="F504" s="604"/>
      <c r="G504" s="604"/>
      <c r="H504" s="604"/>
      <c r="I504" s="604"/>
      <c r="J504" s="604"/>
      <c r="K504" s="604"/>
      <c r="L504" s="604"/>
      <c r="M504" s="604"/>
    </row>
    <row r="505" spans="1:13" ht="18.75" x14ac:dyDescent="0.3">
      <c r="A505" s="604"/>
      <c r="B505" s="604"/>
      <c r="C505" s="604"/>
      <c r="D505" s="604"/>
      <c r="E505" s="604"/>
      <c r="F505" s="604"/>
      <c r="G505" s="604"/>
      <c r="H505" s="604"/>
      <c r="I505" s="604"/>
      <c r="J505" s="604"/>
      <c r="K505" s="604"/>
      <c r="L505" s="604"/>
      <c r="M505" s="604"/>
    </row>
    <row r="506" spans="1:13" ht="18.75" x14ac:dyDescent="0.3">
      <c r="A506" s="604"/>
      <c r="B506" s="604"/>
      <c r="C506" s="604"/>
      <c r="D506" s="604"/>
      <c r="E506" s="604"/>
      <c r="F506" s="604"/>
      <c r="G506" s="604"/>
      <c r="H506" s="604"/>
      <c r="I506" s="604"/>
      <c r="J506" s="604"/>
      <c r="K506" s="604"/>
      <c r="L506" s="604"/>
      <c r="M506" s="604"/>
    </row>
    <row r="507" spans="1:13" ht="18.75" x14ac:dyDescent="0.3">
      <c r="A507" s="604"/>
      <c r="B507" s="604"/>
      <c r="C507" s="604"/>
      <c r="D507" s="604"/>
      <c r="E507" s="604"/>
      <c r="F507" s="604"/>
      <c r="G507" s="604"/>
      <c r="H507" s="604"/>
      <c r="I507" s="604"/>
      <c r="J507" s="604"/>
      <c r="K507" s="604"/>
      <c r="L507" s="604"/>
      <c r="M507" s="604"/>
    </row>
    <row r="508" spans="1:13" ht="18.75" x14ac:dyDescent="0.3">
      <c r="A508" s="604"/>
      <c r="B508" s="604"/>
      <c r="C508" s="604"/>
      <c r="D508" s="604"/>
      <c r="E508" s="604"/>
      <c r="F508" s="604"/>
      <c r="G508" s="604"/>
      <c r="H508" s="604"/>
      <c r="I508" s="604"/>
      <c r="J508" s="604"/>
      <c r="K508" s="604"/>
      <c r="L508" s="604"/>
      <c r="M508" s="604"/>
    </row>
    <row r="509" spans="1:13" ht="18.75" x14ac:dyDescent="0.3">
      <c r="A509" s="604"/>
      <c r="B509" s="604"/>
      <c r="C509" s="604"/>
      <c r="D509" s="604"/>
      <c r="E509" s="604"/>
      <c r="F509" s="604"/>
      <c r="G509" s="604"/>
      <c r="H509" s="604"/>
      <c r="I509" s="604"/>
      <c r="J509" s="604"/>
      <c r="K509" s="604"/>
      <c r="L509" s="604"/>
      <c r="M509" s="604"/>
    </row>
    <row r="510" spans="1:13" ht="18.75" x14ac:dyDescent="0.3">
      <c r="A510" s="604"/>
      <c r="B510" s="604"/>
      <c r="C510" s="604"/>
      <c r="D510" s="604"/>
      <c r="E510" s="604"/>
      <c r="F510" s="604"/>
      <c r="G510" s="604"/>
      <c r="H510" s="604"/>
      <c r="I510" s="604"/>
      <c r="J510" s="604"/>
      <c r="K510" s="604"/>
      <c r="L510" s="604"/>
      <c r="M510" s="604"/>
    </row>
    <row r="511" spans="1:13" ht="18.75" x14ac:dyDescent="0.3">
      <c r="A511" s="604"/>
      <c r="B511" s="604"/>
      <c r="C511" s="604"/>
      <c r="D511" s="604"/>
      <c r="E511" s="604"/>
      <c r="F511" s="604"/>
      <c r="G511" s="604"/>
      <c r="H511" s="604"/>
      <c r="I511" s="604"/>
      <c r="J511" s="604"/>
      <c r="K511" s="604"/>
      <c r="L511" s="604"/>
      <c r="M511" s="604"/>
    </row>
    <row r="512" spans="1:13" ht="18.75" x14ac:dyDescent="0.3">
      <c r="A512" s="604"/>
      <c r="B512" s="604"/>
      <c r="C512" s="604"/>
      <c r="D512" s="604"/>
      <c r="E512" s="604"/>
      <c r="F512" s="604"/>
      <c r="G512" s="604"/>
      <c r="H512" s="604"/>
      <c r="I512" s="604"/>
      <c r="J512" s="604"/>
      <c r="K512" s="604"/>
      <c r="L512" s="604"/>
      <c r="M512" s="604"/>
    </row>
    <row r="513" spans="1:13" ht="18.75" x14ac:dyDescent="0.3">
      <c r="A513" s="604"/>
      <c r="B513" s="604"/>
      <c r="C513" s="604"/>
      <c r="D513" s="604"/>
      <c r="E513" s="604"/>
      <c r="F513" s="604"/>
      <c r="G513" s="604"/>
      <c r="H513" s="604"/>
      <c r="I513" s="604"/>
      <c r="J513" s="604"/>
      <c r="K513" s="604"/>
      <c r="L513" s="604"/>
      <c r="M513" s="604"/>
    </row>
    <row r="514" spans="1:13" ht="18.75" x14ac:dyDescent="0.3">
      <c r="A514" s="604"/>
      <c r="B514" s="604"/>
      <c r="C514" s="604"/>
      <c r="D514" s="604"/>
      <c r="E514" s="604"/>
      <c r="F514" s="604"/>
      <c r="G514" s="604"/>
      <c r="H514" s="604"/>
      <c r="I514" s="604"/>
      <c r="J514" s="604"/>
      <c r="K514" s="604"/>
      <c r="L514" s="604"/>
      <c r="M514" s="604"/>
    </row>
    <row r="515" spans="1:13" ht="18.75" x14ac:dyDescent="0.3">
      <c r="A515" s="604"/>
      <c r="B515" s="604"/>
      <c r="C515" s="604"/>
      <c r="D515" s="604"/>
      <c r="E515" s="604"/>
      <c r="F515" s="604"/>
      <c r="G515" s="604"/>
      <c r="H515" s="604"/>
      <c r="I515" s="604"/>
      <c r="J515" s="604"/>
      <c r="K515" s="604"/>
      <c r="L515" s="604"/>
      <c r="M515" s="604"/>
    </row>
    <row r="516" spans="1:13" ht="18.75" x14ac:dyDescent="0.3">
      <c r="A516" s="604"/>
      <c r="B516" s="604"/>
      <c r="C516" s="604"/>
      <c r="D516" s="604"/>
      <c r="E516" s="604"/>
      <c r="F516" s="604"/>
      <c r="G516" s="604"/>
      <c r="H516" s="604"/>
      <c r="I516" s="604"/>
      <c r="J516" s="604"/>
      <c r="K516" s="604"/>
      <c r="L516" s="604"/>
      <c r="M516" s="604"/>
    </row>
    <row r="517" spans="1:13" ht="18.75" x14ac:dyDescent="0.3">
      <c r="A517" s="604"/>
      <c r="B517" s="604"/>
      <c r="C517" s="604"/>
      <c r="D517" s="604"/>
      <c r="E517" s="604"/>
      <c r="F517" s="604"/>
      <c r="G517" s="604"/>
      <c r="H517" s="604"/>
      <c r="I517" s="604"/>
      <c r="J517" s="604"/>
      <c r="K517" s="604"/>
      <c r="L517" s="604"/>
      <c r="M517" s="604"/>
    </row>
    <row r="518" spans="1:13" ht="18.75" x14ac:dyDescent="0.3">
      <c r="A518" s="604"/>
      <c r="B518" s="604"/>
      <c r="C518" s="604"/>
      <c r="D518" s="604"/>
      <c r="E518" s="604"/>
      <c r="F518" s="604"/>
      <c r="G518" s="604"/>
      <c r="H518" s="604"/>
      <c r="I518" s="604"/>
      <c r="J518" s="604"/>
      <c r="K518" s="604"/>
      <c r="L518" s="604"/>
      <c r="M518" s="604"/>
    </row>
    <row r="519" spans="1:13" ht="18.75" x14ac:dyDescent="0.3">
      <c r="A519" s="604"/>
      <c r="B519" s="604"/>
      <c r="C519" s="604"/>
      <c r="D519" s="604"/>
      <c r="E519" s="604"/>
      <c r="F519" s="604"/>
      <c r="G519" s="604"/>
      <c r="H519" s="604"/>
      <c r="I519" s="604"/>
      <c r="J519" s="604"/>
      <c r="K519" s="604"/>
      <c r="L519" s="604"/>
      <c r="M519" s="604"/>
    </row>
    <row r="520" spans="1:13" ht="18.75" x14ac:dyDescent="0.3">
      <c r="A520" s="604"/>
      <c r="B520" s="604"/>
      <c r="C520" s="604"/>
      <c r="D520" s="604"/>
      <c r="E520" s="604"/>
      <c r="F520" s="604"/>
      <c r="G520" s="604"/>
      <c r="H520" s="604"/>
      <c r="I520" s="604"/>
      <c r="J520" s="604"/>
      <c r="K520" s="604"/>
      <c r="L520" s="604"/>
      <c r="M520" s="604"/>
    </row>
    <row r="521" spans="1:13" ht="18.75" x14ac:dyDescent="0.3">
      <c r="A521" s="604"/>
      <c r="B521" s="604"/>
      <c r="C521" s="604"/>
      <c r="D521" s="604"/>
      <c r="E521" s="604"/>
      <c r="F521" s="604"/>
      <c r="G521" s="604"/>
      <c r="H521" s="604"/>
      <c r="I521" s="604"/>
      <c r="J521" s="604"/>
      <c r="K521" s="604"/>
      <c r="L521" s="604"/>
      <c r="M521" s="604"/>
    </row>
    <row r="522" spans="1:13" ht="18.75" x14ac:dyDescent="0.3">
      <c r="A522" s="604"/>
      <c r="B522" s="604"/>
      <c r="C522" s="604"/>
      <c r="D522" s="604"/>
      <c r="E522" s="604"/>
      <c r="F522" s="604"/>
      <c r="G522" s="604"/>
      <c r="H522" s="604"/>
      <c r="I522" s="604"/>
      <c r="J522" s="604"/>
      <c r="K522" s="604"/>
      <c r="L522" s="604"/>
      <c r="M522" s="604"/>
    </row>
    <row r="523" spans="1:13" ht="18.75" x14ac:dyDescent="0.3">
      <c r="A523" s="604"/>
      <c r="B523" s="604"/>
      <c r="C523" s="604"/>
      <c r="D523" s="604"/>
      <c r="E523" s="604"/>
      <c r="F523" s="604"/>
      <c r="G523" s="604"/>
      <c r="H523" s="604"/>
      <c r="I523" s="604"/>
      <c r="J523" s="604"/>
      <c r="K523" s="604"/>
      <c r="L523" s="604"/>
      <c r="M523" s="604"/>
    </row>
    <row r="524" spans="1:13" ht="18.75" x14ac:dyDescent="0.3">
      <c r="A524" s="604"/>
      <c r="B524" s="604"/>
      <c r="C524" s="604"/>
      <c r="D524" s="604"/>
      <c r="E524" s="604"/>
      <c r="F524" s="604"/>
      <c r="G524" s="604"/>
      <c r="H524" s="604"/>
      <c r="I524" s="604"/>
      <c r="J524" s="604"/>
      <c r="K524" s="604"/>
      <c r="L524" s="604"/>
      <c r="M524" s="604"/>
    </row>
    <row r="525" spans="1:13" ht="18.75" x14ac:dyDescent="0.3">
      <c r="A525" s="604"/>
      <c r="B525" s="604"/>
      <c r="C525" s="604"/>
      <c r="D525" s="604"/>
      <c r="E525" s="604"/>
      <c r="F525" s="604"/>
      <c r="G525" s="604"/>
      <c r="H525" s="604"/>
      <c r="I525" s="604"/>
      <c r="J525" s="604"/>
      <c r="K525" s="604"/>
      <c r="L525" s="604"/>
      <c r="M525" s="604"/>
    </row>
    <row r="526" spans="1:13" ht="18.75" x14ac:dyDescent="0.3">
      <c r="A526" s="604"/>
      <c r="B526" s="604"/>
      <c r="C526" s="604"/>
      <c r="D526" s="604"/>
      <c r="E526" s="604"/>
      <c r="F526" s="604"/>
      <c r="G526" s="604"/>
      <c r="H526" s="604"/>
      <c r="I526" s="604"/>
      <c r="J526" s="604"/>
      <c r="K526" s="604"/>
      <c r="L526" s="604"/>
      <c r="M526" s="604"/>
    </row>
    <row r="527" spans="1:13" ht="18.75" x14ac:dyDescent="0.3">
      <c r="A527" s="604"/>
      <c r="B527" s="604"/>
      <c r="C527" s="604"/>
      <c r="D527" s="604"/>
      <c r="E527" s="604"/>
      <c r="F527" s="604"/>
      <c r="G527" s="604"/>
      <c r="H527" s="604"/>
      <c r="I527" s="604"/>
      <c r="J527" s="604"/>
      <c r="K527" s="604"/>
      <c r="L527" s="604"/>
      <c r="M527" s="604"/>
    </row>
    <row r="528" spans="1:13" ht="18.75" x14ac:dyDescent="0.3">
      <c r="A528" s="604"/>
      <c r="B528" s="604"/>
      <c r="C528" s="604"/>
      <c r="D528" s="604"/>
      <c r="E528" s="604"/>
      <c r="F528" s="604"/>
      <c r="G528" s="604"/>
      <c r="H528" s="604"/>
      <c r="I528" s="604"/>
      <c r="J528" s="604"/>
      <c r="K528" s="604"/>
      <c r="L528" s="604"/>
      <c r="M528" s="604"/>
    </row>
    <row r="529" spans="1:13" ht="18.75" x14ac:dyDescent="0.3">
      <c r="A529" s="604"/>
      <c r="B529" s="604"/>
      <c r="C529" s="604"/>
      <c r="D529" s="604"/>
      <c r="E529" s="604"/>
      <c r="F529" s="604"/>
      <c r="G529" s="604"/>
      <c r="H529" s="604"/>
      <c r="I529" s="604"/>
      <c r="J529" s="604"/>
      <c r="K529" s="604"/>
      <c r="L529" s="604"/>
      <c r="M529" s="604"/>
    </row>
    <row r="530" spans="1:13" ht="18.75" x14ac:dyDescent="0.3">
      <c r="A530" s="604"/>
      <c r="B530" s="604"/>
      <c r="C530" s="604"/>
      <c r="D530" s="604"/>
      <c r="E530" s="604"/>
      <c r="F530" s="604"/>
      <c r="G530" s="604"/>
      <c r="H530" s="604"/>
      <c r="I530" s="604"/>
      <c r="J530" s="604"/>
      <c r="K530" s="604"/>
      <c r="L530" s="604"/>
      <c r="M530" s="604"/>
    </row>
    <row r="531" spans="1:13" ht="18.75" x14ac:dyDescent="0.3">
      <c r="A531" s="604"/>
      <c r="B531" s="604"/>
      <c r="C531" s="604"/>
      <c r="D531" s="604"/>
      <c r="E531" s="604"/>
      <c r="F531" s="604"/>
      <c r="G531" s="604"/>
      <c r="H531" s="604"/>
      <c r="I531" s="604"/>
      <c r="J531" s="604"/>
      <c r="K531" s="604"/>
      <c r="L531" s="604"/>
      <c r="M531" s="604"/>
    </row>
    <row r="532" spans="1:13" ht="18.75" x14ac:dyDescent="0.3">
      <c r="A532" s="604"/>
      <c r="B532" s="604"/>
      <c r="C532" s="604"/>
      <c r="D532" s="604"/>
      <c r="E532" s="604"/>
      <c r="F532" s="604"/>
      <c r="G532" s="604"/>
      <c r="H532" s="604"/>
      <c r="I532" s="604"/>
      <c r="J532" s="604"/>
      <c r="K532" s="604"/>
      <c r="L532" s="604"/>
      <c r="M532" s="604"/>
    </row>
    <row r="533" spans="1:13" ht="18.75" x14ac:dyDescent="0.3">
      <c r="A533" s="604"/>
      <c r="B533" s="604"/>
      <c r="C533" s="604"/>
      <c r="D533" s="604"/>
      <c r="E533" s="604"/>
      <c r="F533" s="604"/>
      <c r="G533" s="604"/>
      <c r="H533" s="604"/>
      <c r="I533" s="604"/>
      <c r="J533" s="604"/>
      <c r="K533" s="604"/>
      <c r="L533" s="604"/>
      <c r="M533" s="604"/>
    </row>
    <row r="534" spans="1:13" ht="18.75" x14ac:dyDescent="0.3">
      <c r="A534" s="604"/>
      <c r="B534" s="604"/>
      <c r="C534" s="604"/>
      <c r="D534" s="604"/>
      <c r="E534" s="604"/>
      <c r="F534" s="604"/>
      <c r="G534" s="604"/>
      <c r="H534" s="604"/>
      <c r="I534" s="604"/>
      <c r="J534" s="604"/>
      <c r="K534" s="604"/>
      <c r="L534" s="604"/>
      <c r="M534" s="604"/>
    </row>
    <row r="535" spans="1:13" ht="18.75" x14ac:dyDescent="0.3">
      <c r="A535" s="604"/>
      <c r="B535" s="604"/>
      <c r="C535" s="604"/>
      <c r="D535" s="604"/>
      <c r="E535" s="604"/>
      <c r="F535" s="604"/>
      <c r="G535" s="604"/>
      <c r="H535" s="604"/>
      <c r="I535" s="604"/>
      <c r="J535" s="604"/>
      <c r="K535" s="604"/>
      <c r="L535" s="604"/>
      <c r="M535" s="604"/>
    </row>
    <row r="536" spans="1:13" ht="18.75" x14ac:dyDescent="0.3">
      <c r="A536" s="604"/>
      <c r="B536" s="604"/>
      <c r="C536" s="604"/>
      <c r="D536" s="604"/>
      <c r="E536" s="604"/>
      <c r="F536" s="604"/>
      <c r="G536" s="604"/>
      <c r="H536" s="604"/>
      <c r="I536" s="604"/>
      <c r="J536" s="604"/>
      <c r="K536" s="604"/>
      <c r="L536" s="604"/>
      <c r="M536" s="604"/>
    </row>
    <row r="537" spans="1:13" ht="18.75" x14ac:dyDescent="0.3">
      <c r="A537" s="604"/>
      <c r="B537" s="604"/>
      <c r="C537" s="604"/>
      <c r="D537" s="604"/>
      <c r="E537" s="604"/>
      <c r="F537" s="604"/>
      <c r="G537" s="604"/>
      <c r="H537" s="604"/>
      <c r="I537" s="604"/>
      <c r="J537" s="604"/>
      <c r="K537" s="604"/>
      <c r="L537" s="604"/>
      <c r="M537" s="604"/>
    </row>
    <row r="538" spans="1:13" ht="18.75" x14ac:dyDescent="0.3">
      <c r="A538" s="604"/>
      <c r="B538" s="604"/>
      <c r="C538" s="604"/>
      <c r="D538" s="604"/>
      <c r="E538" s="604"/>
      <c r="F538" s="604"/>
      <c r="G538" s="604"/>
      <c r="H538" s="604"/>
      <c r="I538" s="604"/>
      <c r="J538" s="604"/>
      <c r="K538" s="604"/>
      <c r="L538" s="604"/>
      <c r="M538" s="604"/>
    </row>
    <row r="539" spans="1:13" ht="18.75" x14ac:dyDescent="0.3">
      <c r="A539" s="604"/>
      <c r="B539" s="604"/>
      <c r="C539" s="604"/>
      <c r="D539" s="604"/>
      <c r="E539" s="604"/>
      <c r="F539" s="604"/>
      <c r="G539" s="604"/>
      <c r="H539" s="604"/>
      <c r="I539" s="604"/>
      <c r="J539" s="604"/>
      <c r="K539" s="604"/>
      <c r="L539" s="604"/>
      <c r="M539" s="604"/>
    </row>
    <row r="540" spans="1:13" ht="18.75" x14ac:dyDescent="0.3">
      <c r="A540" s="604"/>
      <c r="B540" s="604"/>
      <c r="C540" s="604"/>
      <c r="D540" s="604"/>
      <c r="E540" s="604"/>
      <c r="F540" s="604"/>
      <c r="G540" s="604"/>
      <c r="H540" s="604"/>
      <c r="I540" s="604"/>
      <c r="J540" s="604"/>
      <c r="K540" s="604"/>
      <c r="L540" s="604"/>
      <c r="M540" s="604"/>
    </row>
    <row r="541" spans="1:13" ht="18.75" x14ac:dyDescent="0.3">
      <c r="A541" s="604"/>
      <c r="B541" s="604"/>
      <c r="C541" s="604"/>
      <c r="D541" s="604"/>
      <c r="E541" s="604"/>
      <c r="F541" s="604"/>
      <c r="G541" s="604"/>
      <c r="H541" s="604"/>
      <c r="I541" s="604"/>
      <c r="J541" s="604"/>
      <c r="K541" s="604"/>
      <c r="L541" s="604"/>
      <c r="M541" s="604"/>
    </row>
    <row r="542" spans="1:13" ht="18.75" x14ac:dyDescent="0.3">
      <c r="A542" s="604"/>
      <c r="B542" s="604"/>
      <c r="C542" s="604"/>
      <c r="D542" s="604"/>
      <c r="E542" s="604"/>
      <c r="F542" s="604"/>
      <c r="G542" s="604"/>
      <c r="H542" s="604"/>
      <c r="I542" s="604"/>
      <c r="J542" s="604"/>
      <c r="K542" s="604"/>
      <c r="L542" s="604"/>
      <c r="M542" s="604"/>
    </row>
    <row r="543" spans="1:13" ht="18.75" x14ac:dyDescent="0.3">
      <c r="A543" s="604"/>
      <c r="B543" s="604"/>
      <c r="C543" s="604"/>
      <c r="D543" s="604"/>
      <c r="E543" s="604"/>
      <c r="F543" s="604"/>
      <c r="G543" s="604"/>
      <c r="H543" s="604"/>
      <c r="I543" s="604"/>
      <c r="J543" s="604"/>
      <c r="K543" s="604"/>
      <c r="L543" s="604"/>
      <c r="M543" s="604"/>
    </row>
    <row r="544" spans="1:13" ht="18.75" x14ac:dyDescent="0.3">
      <c r="A544" s="604"/>
      <c r="B544" s="604"/>
      <c r="C544" s="604"/>
      <c r="D544" s="604"/>
      <c r="E544" s="604"/>
      <c r="F544" s="604"/>
      <c r="G544" s="604"/>
      <c r="H544" s="604"/>
      <c r="I544" s="604"/>
      <c r="J544" s="604"/>
      <c r="K544" s="604"/>
      <c r="L544" s="604"/>
      <c r="M544" s="604"/>
    </row>
    <row r="545" spans="1:13" ht="18.75" x14ac:dyDescent="0.3">
      <c r="A545" s="604"/>
      <c r="B545" s="604"/>
      <c r="C545" s="604"/>
      <c r="D545" s="604"/>
      <c r="E545" s="604"/>
      <c r="F545" s="604"/>
      <c r="G545" s="604"/>
      <c r="H545" s="604"/>
      <c r="I545" s="604"/>
      <c r="J545" s="604"/>
      <c r="K545" s="604"/>
      <c r="L545" s="604"/>
      <c r="M545" s="604"/>
    </row>
    <row r="546" spans="1:13" ht="18.75" x14ac:dyDescent="0.3">
      <c r="A546" s="604"/>
      <c r="B546" s="604"/>
      <c r="C546" s="604"/>
      <c r="D546" s="604"/>
      <c r="E546" s="604"/>
      <c r="F546" s="604"/>
      <c r="G546" s="604"/>
      <c r="H546" s="604"/>
      <c r="I546" s="604"/>
      <c r="J546" s="604"/>
      <c r="K546" s="604"/>
      <c r="L546" s="604"/>
      <c r="M546" s="604"/>
    </row>
    <row r="547" spans="1:13" ht="18.75" x14ac:dyDescent="0.3">
      <c r="A547" s="604"/>
      <c r="B547" s="604"/>
      <c r="C547" s="604"/>
      <c r="D547" s="604"/>
      <c r="E547" s="604"/>
      <c r="F547" s="604"/>
      <c r="G547" s="604"/>
      <c r="H547" s="604"/>
      <c r="I547" s="604"/>
      <c r="J547" s="604"/>
      <c r="K547" s="604"/>
      <c r="L547" s="604"/>
      <c r="M547" s="604"/>
    </row>
    <row r="548" spans="1:13" ht="18.75" x14ac:dyDescent="0.3">
      <c r="A548" s="604"/>
      <c r="B548" s="604"/>
      <c r="C548" s="604"/>
      <c r="D548" s="604"/>
      <c r="E548" s="604"/>
      <c r="F548" s="604"/>
      <c r="G548" s="604"/>
      <c r="H548" s="604"/>
      <c r="I548" s="604"/>
      <c r="J548" s="604"/>
      <c r="K548" s="604"/>
      <c r="L548" s="604"/>
      <c r="M548" s="604"/>
    </row>
    <row r="549" spans="1:13" ht="18.75" x14ac:dyDescent="0.3">
      <c r="A549" s="604"/>
      <c r="B549" s="604"/>
      <c r="C549" s="604"/>
      <c r="D549" s="604"/>
      <c r="E549" s="604"/>
      <c r="F549" s="604"/>
      <c r="G549" s="604"/>
      <c r="H549" s="604"/>
      <c r="I549" s="604"/>
      <c r="J549" s="604"/>
      <c r="K549" s="604"/>
      <c r="L549" s="604"/>
      <c r="M549" s="604"/>
    </row>
    <row r="550" spans="1:13" ht="18.75" x14ac:dyDescent="0.3">
      <c r="A550" s="604"/>
      <c r="B550" s="604"/>
      <c r="C550" s="604"/>
      <c r="D550" s="604"/>
      <c r="E550" s="604"/>
      <c r="F550" s="604"/>
      <c r="G550" s="604"/>
      <c r="H550" s="604"/>
      <c r="I550" s="604"/>
      <c r="J550" s="604"/>
      <c r="K550" s="604"/>
      <c r="L550" s="604"/>
      <c r="M550" s="604"/>
    </row>
    <row r="551" spans="1:13" ht="18.75" x14ac:dyDescent="0.3">
      <c r="A551" s="604"/>
      <c r="B551" s="604"/>
      <c r="C551" s="604"/>
      <c r="D551" s="604"/>
      <c r="E551" s="604"/>
      <c r="F551" s="604"/>
      <c r="G551" s="604"/>
      <c r="H551" s="604"/>
      <c r="I551" s="604"/>
      <c r="J551" s="604"/>
      <c r="K551" s="604"/>
      <c r="L551" s="604"/>
      <c r="M551" s="604"/>
    </row>
    <row r="552" spans="1:13" ht="18.75" x14ac:dyDescent="0.3">
      <c r="A552" s="604"/>
      <c r="B552" s="604"/>
      <c r="C552" s="604"/>
      <c r="D552" s="604"/>
      <c r="E552" s="604"/>
      <c r="F552" s="604"/>
      <c r="G552" s="604"/>
      <c r="H552" s="604"/>
      <c r="I552" s="604"/>
      <c r="J552" s="604"/>
      <c r="K552" s="604"/>
      <c r="L552" s="604"/>
      <c r="M552" s="604"/>
    </row>
    <row r="553" spans="1:13" ht="18.75" x14ac:dyDescent="0.3">
      <c r="A553" s="604"/>
      <c r="B553" s="604"/>
      <c r="C553" s="604"/>
      <c r="D553" s="604"/>
      <c r="E553" s="604"/>
      <c r="F553" s="604"/>
      <c r="G553" s="604"/>
      <c r="H553" s="604"/>
      <c r="I553" s="604"/>
      <c r="J553" s="604"/>
      <c r="K553" s="604"/>
      <c r="L553" s="604"/>
      <c r="M553" s="604"/>
    </row>
    <row r="554" spans="1:13" ht="18.75" x14ac:dyDescent="0.3">
      <c r="A554" s="604"/>
      <c r="B554" s="604"/>
      <c r="C554" s="604"/>
      <c r="D554" s="604"/>
      <c r="E554" s="604"/>
      <c r="F554" s="604"/>
      <c r="G554" s="604"/>
      <c r="H554" s="604"/>
      <c r="I554" s="604"/>
      <c r="J554" s="604"/>
      <c r="K554" s="604"/>
      <c r="L554" s="604"/>
      <c r="M554" s="604"/>
    </row>
    <row r="555" spans="1:13" ht="18.75" x14ac:dyDescent="0.3">
      <c r="A555" s="604"/>
      <c r="B555" s="604"/>
      <c r="C555" s="604"/>
      <c r="D555" s="604"/>
      <c r="E555" s="604"/>
      <c r="F555" s="604"/>
      <c r="G555" s="604"/>
      <c r="H555" s="604"/>
      <c r="I555" s="604"/>
      <c r="J555" s="604"/>
      <c r="K555" s="604"/>
      <c r="L555" s="604"/>
      <c r="M555" s="604"/>
    </row>
    <row r="556" spans="1:13" ht="18.75" x14ac:dyDescent="0.3">
      <c r="A556" s="604"/>
      <c r="B556" s="604"/>
      <c r="C556" s="604"/>
      <c r="D556" s="604"/>
      <c r="E556" s="604"/>
      <c r="F556" s="604"/>
      <c r="G556" s="604"/>
      <c r="H556" s="604"/>
      <c r="I556" s="604"/>
      <c r="J556" s="604"/>
      <c r="K556" s="604"/>
      <c r="L556" s="604"/>
      <c r="M556" s="604"/>
    </row>
    <row r="557" spans="1:13" ht="18.75" x14ac:dyDescent="0.3">
      <c r="A557" s="604"/>
      <c r="B557" s="604"/>
      <c r="C557" s="604"/>
      <c r="D557" s="604"/>
      <c r="E557" s="604"/>
      <c r="F557" s="604"/>
      <c r="G557" s="604"/>
      <c r="H557" s="604"/>
      <c r="I557" s="604"/>
      <c r="J557" s="604"/>
      <c r="K557" s="604"/>
      <c r="L557" s="604"/>
      <c r="M557" s="604"/>
    </row>
    <row r="558" spans="1:13" ht="18.75" x14ac:dyDescent="0.3">
      <c r="A558" s="604"/>
      <c r="B558" s="604"/>
      <c r="C558" s="604"/>
      <c r="D558" s="604"/>
      <c r="E558" s="604"/>
      <c r="F558" s="604"/>
      <c r="G558" s="604"/>
      <c r="H558" s="604"/>
      <c r="I558" s="604"/>
      <c r="J558" s="604"/>
      <c r="K558" s="604"/>
      <c r="L558" s="604"/>
      <c r="M558" s="604"/>
    </row>
    <row r="559" spans="1:13" ht="18.75" x14ac:dyDescent="0.3">
      <c r="A559" s="604"/>
      <c r="B559" s="604"/>
      <c r="C559" s="604"/>
      <c r="D559" s="604"/>
      <c r="E559" s="604"/>
      <c r="F559" s="604"/>
      <c r="G559" s="604"/>
      <c r="H559" s="604"/>
      <c r="I559" s="604"/>
      <c r="J559" s="604"/>
      <c r="K559" s="604"/>
      <c r="L559" s="604"/>
      <c r="M559" s="604"/>
    </row>
    <row r="560" spans="1:13" ht="18.75" x14ac:dyDescent="0.3">
      <c r="A560" s="604"/>
      <c r="B560" s="604"/>
      <c r="C560" s="604"/>
      <c r="D560" s="604"/>
      <c r="E560" s="604"/>
      <c r="F560" s="604"/>
      <c r="G560" s="604"/>
      <c r="H560" s="604"/>
      <c r="I560" s="604"/>
      <c r="J560" s="604"/>
      <c r="K560" s="604"/>
      <c r="L560" s="604"/>
      <c r="M560" s="604"/>
    </row>
    <row r="561" spans="1:13" ht="18.75" x14ac:dyDescent="0.3">
      <c r="A561" s="604"/>
      <c r="B561" s="604"/>
      <c r="C561" s="604"/>
      <c r="D561" s="604"/>
      <c r="E561" s="604"/>
      <c r="F561" s="604"/>
      <c r="G561" s="604"/>
      <c r="H561" s="604"/>
      <c r="I561" s="604"/>
      <c r="J561" s="604"/>
      <c r="K561" s="604"/>
      <c r="L561" s="604"/>
      <c r="M561" s="604"/>
    </row>
    <row r="562" spans="1:13" ht="18.75" x14ac:dyDescent="0.3">
      <c r="A562" s="604"/>
      <c r="B562" s="604"/>
      <c r="C562" s="604"/>
      <c r="D562" s="604"/>
      <c r="E562" s="604"/>
      <c r="F562" s="604"/>
      <c r="G562" s="604"/>
      <c r="H562" s="604"/>
      <c r="I562" s="604"/>
      <c r="J562" s="604"/>
      <c r="K562" s="604"/>
      <c r="L562" s="604"/>
      <c r="M562" s="604"/>
    </row>
    <row r="563" spans="1:13" ht="18.75" x14ac:dyDescent="0.3">
      <c r="A563" s="604"/>
      <c r="B563" s="604"/>
      <c r="C563" s="604"/>
      <c r="D563" s="604"/>
      <c r="E563" s="604"/>
      <c r="F563" s="604"/>
      <c r="G563" s="604"/>
      <c r="H563" s="604"/>
      <c r="I563" s="604"/>
      <c r="J563" s="604"/>
      <c r="K563" s="604"/>
      <c r="L563" s="604"/>
      <c r="M563" s="604"/>
    </row>
    <row r="564" spans="1:13" ht="18.75" x14ac:dyDescent="0.3">
      <c r="A564" s="604"/>
      <c r="B564" s="604"/>
      <c r="C564" s="604"/>
      <c r="D564" s="604"/>
      <c r="E564" s="604"/>
      <c r="F564" s="604"/>
      <c r="G564" s="604"/>
      <c r="H564" s="604"/>
      <c r="I564" s="604"/>
      <c r="J564" s="604"/>
      <c r="K564" s="604"/>
      <c r="L564" s="604"/>
      <c r="M564" s="604"/>
    </row>
    <row r="565" spans="1:13" ht="18.75" x14ac:dyDescent="0.3">
      <c r="A565" s="604"/>
      <c r="B565" s="604"/>
      <c r="C565" s="604"/>
      <c r="D565" s="604"/>
      <c r="E565" s="604"/>
      <c r="F565" s="604"/>
      <c r="G565" s="604"/>
      <c r="H565" s="604"/>
      <c r="I565" s="604"/>
      <c r="J565" s="604"/>
      <c r="K565" s="604"/>
      <c r="L565" s="604"/>
      <c r="M565" s="604"/>
    </row>
    <row r="566" spans="1:13" ht="18.75" x14ac:dyDescent="0.3">
      <c r="A566" s="604"/>
      <c r="B566" s="604"/>
      <c r="C566" s="604"/>
      <c r="D566" s="604"/>
      <c r="E566" s="604"/>
      <c r="F566" s="604"/>
      <c r="G566" s="604"/>
      <c r="H566" s="604"/>
      <c r="I566" s="604"/>
      <c r="J566" s="604"/>
      <c r="K566" s="604"/>
      <c r="L566" s="604"/>
      <c r="M566" s="604"/>
    </row>
    <row r="567" spans="1:13" ht="18.75" x14ac:dyDescent="0.3">
      <c r="A567" s="604"/>
      <c r="B567" s="604"/>
      <c r="C567" s="604"/>
      <c r="D567" s="604"/>
      <c r="E567" s="604"/>
      <c r="F567" s="604"/>
      <c r="G567" s="604"/>
      <c r="H567" s="604"/>
      <c r="I567" s="604"/>
      <c r="J567" s="604"/>
      <c r="K567" s="604"/>
      <c r="L567" s="604"/>
      <c r="M567" s="604"/>
    </row>
    <row r="568" spans="1:13" ht="18.75" x14ac:dyDescent="0.3">
      <c r="A568" s="604"/>
      <c r="B568" s="604"/>
      <c r="C568" s="604"/>
      <c r="D568" s="604"/>
      <c r="E568" s="604"/>
      <c r="F568" s="604"/>
      <c r="G568" s="604"/>
      <c r="H568" s="604"/>
      <c r="I568" s="604"/>
      <c r="J568" s="604"/>
      <c r="K568" s="604"/>
      <c r="L568" s="604"/>
      <c r="M568" s="604"/>
    </row>
    <row r="569" spans="1:13" ht="18.75" x14ac:dyDescent="0.3">
      <c r="A569" s="604"/>
      <c r="B569" s="604"/>
      <c r="C569" s="604"/>
      <c r="D569" s="604"/>
      <c r="E569" s="604"/>
      <c r="F569" s="604"/>
      <c r="G569" s="604"/>
      <c r="H569" s="604"/>
      <c r="I569" s="604"/>
      <c r="J569" s="604"/>
      <c r="K569" s="604"/>
      <c r="L569" s="604"/>
      <c r="M569" s="604"/>
    </row>
    <row r="570" spans="1:13" ht="18.75" x14ac:dyDescent="0.3">
      <c r="A570" s="604"/>
      <c r="B570" s="604"/>
      <c r="C570" s="604"/>
      <c r="D570" s="604"/>
      <c r="E570" s="604"/>
      <c r="F570" s="604"/>
      <c r="G570" s="604"/>
      <c r="H570" s="604"/>
      <c r="I570" s="604"/>
      <c r="J570" s="604"/>
      <c r="K570" s="604"/>
      <c r="L570" s="604"/>
      <c r="M570" s="604"/>
    </row>
    <row r="571" spans="1:13" ht="18.75" x14ac:dyDescent="0.3">
      <c r="A571" s="604"/>
      <c r="B571" s="604"/>
      <c r="C571" s="604"/>
      <c r="D571" s="604"/>
      <c r="E571" s="604"/>
      <c r="F571" s="604"/>
      <c r="G571" s="604"/>
      <c r="H571" s="604"/>
      <c r="I571" s="604"/>
      <c r="J571" s="604"/>
      <c r="K571" s="604"/>
      <c r="L571" s="604"/>
      <c r="M571" s="604"/>
    </row>
    <row r="572" spans="1:13" ht="18.75" x14ac:dyDescent="0.3">
      <c r="A572" s="604"/>
      <c r="B572" s="604"/>
      <c r="C572" s="604"/>
      <c r="D572" s="604"/>
      <c r="E572" s="604"/>
      <c r="F572" s="604"/>
      <c r="G572" s="604"/>
      <c r="H572" s="604"/>
      <c r="I572" s="604"/>
      <c r="J572" s="604"/>
      <c r="K572" s="604"/>
      <c r="L572" s="604"/>
      <c r="M572" s="604"/>
    </row>
    <row r="573" spans="1:13" ht="18.75" x14ac:dyDescent="0.3">
      <c r="A573" s="604"/>
      <c r="B573" s="604"/>
      <c r="C573" s="604"/>
      <c r="D573" s="604"/>
      <c r="E573" s="604"/>
      <c r="F573" s="604"/>
      <c r="G573" s="604"/>
      <c r="H573" s="604"/>
      <c r="I573" s="604"/>
      <c r="J573" s="604"/>
      <c r="K573" s="604"/>
      <c r="L573" s="604"/>
      <c r="M573" s="604"/>
    </row>
    <row r="574" spans="1:13" ht="18.75" x14ac:dyDescent="0.3">
      <c r="A574" s="604"/>
      <c r="B574" s="604"/>
      <c r="C574" s="604"/>
      <c r="D574" s="604"/>
      <c r="E574" s="604"/>
      <c r="F574" s="604"/>
      <c r="G574" s="604"/>
      <c r="H574" s="604"/>
      <c r="I574" s="604"/>
      <c r="J574" s="604"/>
      <c r="K574" s="604"/>
      <c r="L574" s="604"/>
      <c r="M574" s="604"/>
    </row>
    <row r="575" spans="1:13" ht="18.75" x14ac:dyDescent="0.3">
      <c r="A575" s="604"/>
      <c r="B575" s="604"/>
      <c r="C575" s="604"/>
      <c r="D575" s="604"/>
      <c r="E575" s="604"/>
      <c r="F575" s="604"/>
      <c r="G575" s="604"/>
      <c r="H575" s="604"/>
      <c r="I575" s="604"/>
      <c r="J575" s="604"/>
      <c r="K575" s="604"/>
      <c r="L575" s="604"/>
      <c r="M575" s="604"/>
    </row>
    <row r="576" spans="1:13" ht="18.75" x14ac:dyDescent="0.3">
      <c r="A576" s="604"/>
      <c r="B576" s="604"/>
      <c r="C576" s="604"/>
      <c r="D576" s="604"/>
      <c r="E576" s="604"/>
      <c r="F576" s="604"/>
      <c r="G576" s="604"/>
      <c r="H576" s="604"/>
      <c r="I576" s="604"/>
      <c r="J576" s="604"/>
      <c r="K576" s="604"/>
      <c r="L576" s="604"/>
      <c r="M576" s="604"/>
    </row>
    <row r="577" spans="1:13" ht="18.75" x14ac:dyDescent="0.3">
      <c r="A577" s="604"/>
      <c r="B577" s="604"/>
      <c r="C577" s="604"/>
      <c r="D577" s="604"/>
      <c r="E577" s="604"/>
      <c r="F577" s="604"/>
      <c r="G577" s="604"/>
      <c r="H577" s="604"/>
      <c r="I577" s="604"/>
      <c r="J577" s="604"/>
      <c r="K577" s="604"/>
      <c r="L577" s="604"/>
      <c r="M577" s="604"/>
    </row>
    <row r="578" spans="1:13" ht="18.75" x14ac:dyDescent="0.3">
      <c r="A578" s="604"/>
      <c r="B578" s="604"/>
      <c r="C578" s="604"/>
      <c r="D578" s="604"/>
      <c r="E578" s="604"/>
      <c r="F578" s="604"/>
      <c r="G578" s="604"/>
      <c r="H578" s="604"/>
      <c r="I578" s="604"/>
      <c r="J578" s="604"/>
      <c r="K578" s="604"/>
      <c r="L578" s="604"/>
      <c r="M578" s="604"/>
    </row>
    <row r="579" spans="1:13" ht="18.75" x14ac:dyDescent="0.3">
      <c r="A579" s="604"/>
      <c r="B579" s="604"/>
      <c r="C579" s="604"/>
      <c r="D579" s="604"/>
      <c r="E579" s="604"/>
      <c r="F579" s="604"/>
      <c r="G579" s="604"/>
      <c r="H579" s="604"/>
      <c r="I579" s="604"/>
      <c r="J579" s="604"/>
      <c r="K579" s="604"/>
      <c r="L579" s="604"/>
      <c r="M579" s="604"/>
    </row>
    <row r="580" spans="1:13" ht="18.75" x14ac:dyDescent="0.3">
      <c r="A580" s="604"/>
      <c r="B580" s="604"/>
      <c r="C580" s="604"/>
      <c r="D580" s="604"/>
      <c r="E580" s="604"/>
      <c r="F580" s="604"/>
      <c r="G580" s="604"/>
      <c r="H580" s="604"/>
      <c r="I580" s="604"/>
      <c r="J580" s="604"/>
      <c r="K580" s="604"/>
      <c r="L580" s="604"/>
      <c r="M580" s="604"/>
    </row>
    <row r="581" spans="1:13" ht="18.75" x14ac:dyDescent="0.3">
      <c r="A581" s="604"/>
      <c r="B581" s="604"/>
      <c r="C581" s="604"/>
      <c r="D581" s="604"/>
      <c r="E581" s="604"/>
      <c r="F581" s="604"/>
      <c r="G581" s="604"/>
      <c r="H581" s="604"/>
      <c r="I581" s="604"/>
      <c r="J581" s="604"/>
      <c r="K581" s="604"/>
      <c r="L581" s="604"/>
      <c r="M581" s="604"/>
    </row>
    <row r="582" spans="1:13" ht="18.75" x14ac:dyDescent="0.3">
      <c r="A582" s="604"/>
      <c r="B582" s="604"/>
      <c r="C582" s="604"/>
      <c r="D582" s="604"/>
      <c r="E582" s="604"/>
      <c r="F582" s="604"/>
      <c r="G582" s="604"/>
      <c r="H582" s="604"/>
      <c r="I582" s="604"/>
      <c r="J582" s="604"/>
      <c r="K582" s="604"/>
      <c r="L582" s="604"/>
      <c r="M582" s="604"/>
    </row>
    <row r="583" spans="1:13" ht="18.75" x14ac:dyDescent="0.3">
      <c r="A583" s="604"/>
      <c r="B583" s="604"/>
      <c r="C583" s="604"/>
      <c r="D583" s="604"/>
      <c r="E583" s="604"/>
      <c r="F583" s="604"/>
      <c r="G583" s="604"/>
      <c r="H583" s="604"/>
      <c r="I583" s="604"/>
      <c r="J583" s="604"/>
      <c r="K583" s="604"/>
      <c r="L583" s="604"/>
      <c r="M583" s="604"/>
    </row>
    <row r="584" spans="1:13" ht="18.75" x14ac:dyDescent="0.3">
      <c r="A584" s="604"/>
      <c r="B584" s="604"/>
      <c r="C584" s="604"/>
      <c r="D584" s="604"/>
      <c r="E584" s="604"/>
      <c r="F584" s="604"/>
      <c r="G584" s="604"/>
      <c r="H584" s="604"/>
      <c r="I584" s="604"/>
      <c r="J584" s="604"/>
      <c r="K584" s="604"/>
      <c r="L584" s="604"/>
      <c r="M584" s="604"/>
    </row>
    <row r="585" spans="1:13" ht="18.75" x14ac:dyDescent="0.3">
      <c r="A585" s="604"/>
      <c r="B585" s="604"/>
      <c r="C585" s="604"/>
      <c r="D585" s="604"/>
      <c r="E585" s="604"/>
      <c r="F585" s="604"/>
      <c r="G585" s="604"/>
      <c r="H585" s="604"/>
      <c r="I585" s="604"/>
      <c r="J585" s="604"/>
      <c r="K585" s="604"/>
      <c r="L585" s="604"/>
      <c r="M585" s="604"/>
    </row>
    <row r="586" spans="1:13" ht="18.75" x14ac:dyDescent="0.3">
      <c r="A586" s="604"/>
      <c r="B586" s="604"/>
      <c r="C586" s="604"/>
      <c r="D586" s="604"/>
      <c r="E586" s="604"/>
      <c r="F586" s="604"/>
      <c r="G586" s="604"/>
      <c r="H586" s="604"/>
      <c r="I586" s="604"/>
      <c r="J586" s="604"/>
      <c r="K586" s="604"/>
      <c r="L586" s="604"/>
      <c r="M586" s="604"/>
    </row>
    <row r="587" spans="1:13" ht="18.75" x14ac:dyDescent="0.3">
      <c r="A587" s="604"/>
      <c r="B587" s="604"/>
      <c r="C587" s="604"/>
      <c r="D587" s="604"/>
      <c r="E587" s="604"/>
      <c r="F587" s="604"/>
      <c r="G587" s="604"/>
      <c r="H587" s="604"/>
      <c r="I587" s="604"/>
      <c r="J587" s="604"/>
      <c r="K587" s="604"/>
      <c r="L587" s="604"/>
      <c r="M587" s="604"/>
    </row>
    <row r="588" spans="1:13" ht="18.75" x14ac:dyDescent="0.3">
      <c r="A588" s="604"/>
      <c r="B588" s="604"/>
      <c r="C588" s="604"/>
      <c r="D588" s="604"/>
      <c r="E588" s="604"/>
      <c r="F588" s="604"/>
      <c r="G588" s="604"/>
      <c r="H588" s="604"/>
      <c r="I588" s="604"/>
      <c r="J588" s="604"/>
      <c r="K588" s="604"/>
      <c r="L588" s="604"/>
      <c r="M588" s="604"/>
    </row>
    <row r="589" spans="1:13" ht="18.75" x14ac:dyDescent="0.3">
      <c r="A589" s="604"/>
      <c r="B589" s="604"/>
      <c r="C589" s="604"/>
      <c r="D589" s="604"/>
      <c r="E589" s="604"/>
      <c r="F589" s="604"/>
      <c r="G589" s="604"/>
      <c r="H589" s="604"/>
      <c r="I589" s="604"/>
      <c r="J589" s="604"/>
      <c r="K589" s="604"/>
      <c r="L589" s="604"/>
      <c r="M589" s="604"/>
    </row>
    <row r="590" spans="1:13" ht="18.75" x14ac:dyDescent="0.3">
      <c r="A590" s="604"/>
      <c r="B590" s="604"/>
      <c r="C590" s="604"/>
      <c r="D590" s="604"/>
      <c r="E590" s="604"/>
      <c r="F590" s="604"/>
      <c r="G590" s="604"/>
      <c r="H590" s="604"/>
      <c r="I590" s="604"/>
      <c r="J590" s="604"/>
      <c r="K590" s="604"/>
      <c r="L590" s="604"/>
      <c r="M590" s="604"/>
    </row>
    <row r="591" spans="1:13" ht="18.75" x14ac:dyDescent="0.3">
      <c r="A591" s="604"/>
      <c r="B591" s="604"/>
      <c r="C591" s="604"/>
      <c r="D591" s="604"/>
      <c r="E591" s="604"/>
      <c r="F591" s="604"/>
      <c r="G591" s="604"/>
      <c r="H591" s="604"/>
      <c r="I591" s="604"/>
      <c r="J591" s="604"/>
      <c r="K591" s="604"/>
      <c r="L591" s="604"/>
      <c r="M591" s="604"/>
    </row>
    <row r="592" spans="1:13" ht="18.75" x14ac:dyDescent="0.3">
      <c r="A592" s="604"/>
      <c r="B592" s="604"/>
      <c r="C592" s="604"/>
      <c r="D592" s="604"/>
      <c r="E592" s="604"/>
      <c r="F592" s="604"/>
      <c r="G592" s="604"/>
      <c r="H592" s="604"/>
      <c r="I592" s="604"/>
      <c r="J592" s="604"/>
      <c r="K592" s="604"/>
      <c r="L592" s="604"/>
      <c r="M592" s="604"/>
    </row>
    <row r="593" spans="1:13" ht="18.75" x14ac:dyDescent="0.3">
      <c r="A593" s="604"/>
      <c r="B593" s="604"/>
      <c r="C593" s="604"/>
      <c r="D593" s="604"/>
      <c r="E593" s="604"/>
      <c r="F593" s="604"/>
      <c r="G593" s="604"/>
      <c r="H593" s="604"/>
      <c r="I593" s="604"/>
      <c r="J593" s="604"/>
      <c r="K593" s="604"/>
      <c r="L593" s="604"/>
      <c r="M593" s="604"/>
    </row>
    <row r="594" spans="1:13" ht="18.75" x14ac:dyDescent="0.3">
      <c r="A594" s="604"/>
      <c r="B594" s="604"/>
      <c r="C594" s="604"/>
      <c r="D594" s="604"/>
      <c r="E594" s="604"/>
      <c r="F594" s="604"/>
      <c r="G594" s="604"/>
      <c r="H594" s="604"/>
      <c r="I594" s="604"/>
      <c r="J594" s="604"/>
      <c r="K594" s="604"/>
      <c r="L594" s="604"/>
      <c r="M594" s="604"/>
    </row>
    <row r="595" spans="1:13" ht="18.75" x14ac:dyDescent="0.3">
      <c r="A595" s="604"/>
      <c r="B595" s="604"/>
      <c r="C595" s="604"/>
      <c r="D595" s="604"/>
      <c r="E595" s="604"/>
      <c r="F595" s="604"/>
      <c r="G595" s="604"/>
      <c r="H595" s="604"/>
      <c r="I595" s="604"/>
      <c r="J595" s="604"/>
      <c r="K595" s="604"/>
      <c r="L595" s="604"/>
      <c r="M595" s="604"/>
    </row>
    <row r="596" spans="1:13" ht="18.75" x14ac:dyDescent="0.3">
      <c r="A596" s="604"/>
      <c r="B596" s="604"/>
      <c r="C596" s="604"/>
      <c r="D596" s="604"/>
      <c r="E596" s="604"/>
      <c r="F596" s="604"/>
      <c r="G596" s="604"/>
      <c r="H596" s="604"/>
      <c r="I596" s="604"/>
      <c r="J596" s="604"/>
      <c r="K596" s="604"/>
      <c r="L596" s="604"/>
      <c r="M596" s="604"/>
    </row>
    <row r="597" spans="1:13" ht="18.75" x14ac:dyDescent="0.3">
      <c r="A597" s="604"/>
      <c r="B597" s="604"/>
      <c r="C597" s="604"/>
      <c r="D597" s="604"/>
      <c r="E597" s="604"/>
      <c r="F597" s="604"/>
      <c r="G597" s="604"/>
      <c r="H597" s="604"/>
      <c r="I597" s="604"/>
      <c r="J597" s="604"/>
      <c r="K597" s="604"/>
      <c r="L597" s="604"/>
      <c r="M597" s="604"/>
    </row>
    <row r="598" spans="1:13" ht="18.75" x14ac:dyDescent="0.3">
      <c r="A598" s="604"/>
      <c r="B598" s="604"/>
      <c r="C598" s="604"/>
      <c r="D598" s="604"/>
      <c r="E598" s="604"/>
      <c r="F598" s="604"/>
      <c r="G598" s="604"/>
      <c r="H598" s="604"/>
      <c r="I598" s="604"/>
      <c r="J598" s="604"/>
      <c r="K598" s="604"/>
      <c r="L598" s="604"/>
      <c r="M598" s="604"/>
    </row>
    <row r="599" spans="1:13" ht="18.75" x14ac:dyDescent="0.3">
      <c r="A599" s="604"/>
      <c r="B599" s="604"/>
      <c r="C599" s="604"/>
      <c r="D599" s="604"/>
      <c r="E599" s="604"/>
      <c r="F599" s="604"/>
      <c r="G599" s="604"/>
      <c r="H599" s="604"/>
      <c r="I599" s="604"/>
      <c r="J599" s="604"/>
      <c r="K599" s="604"/>
      <c r="L599" s="604"/>
      <c r="M599" s="604"/>
    </row>
    <row r="600" spans="1:13" ht="18.75" x14ac:dyDescent="0.3">
      <c r="A600" s="604"/>
      <c r="B600" s="604"/>
      <c r="C600" s="604"/>
      <c r="D600" s="604"/>
      <c r="E600" s="604"/>
      <c r="F600" s="604"/>
      <c r="G600" s="604"/>
      <c r="H600" s="604"/>
      <c r="I600" s="604"/>
      <c r="J600" s="604"/>
      <c r="K600" s="604"/>
      <c r="L600" s="604"/>
      <c r="M600" s="604"/>
    </row>
    <row r="601" spans="1:13" ht="18.75" x14ac:dyDescent="0.3">
      <c r="A601" s="604"/>
      <c r="B601" s="604"/>
      <c r="C601" s="604"/>
      <c r="D601" s="604"/>
      <c r="E601" s="604"/>
      <c r="F601" s="604"/>
      <c r="G601" s="604"/>
      <c r="H601" s="604"/>
      <c r="I601" s="604"/>
      <c r="J601" s="604"/>
      <c r="K601" s="604"/>
      <c r="L601" s="604"/>
      <c r="M601" s="604"/>
    </row>
    <row r="602" spans="1:13" ht="18.75" x14ac:dyDescent="0.3">
      <c r="A602" s="604"/>
      <c r="B602" s="604"/>
      <c r="C602" s="604"/>
      <c r="D602" s="604"/>
      <c r="E602" s="604"/>
      <c r="F602" s="604"/>
      <c r="G602" s="604"/>
      <c r="H602" s="604"/>
      <c r="I602" s="604"/>
      <c r="J602" s="604"/>
      <c r="K602" s="604"/>
      <c r="L602" s="604"/>
      <c r="M602" s="604"/>
    </row>
    <row r="603" spans="1:13" ht="18.75" x14ac:dyDescent="0.3">
      <c r="A603" s="604"/>
      <c r="B603" s="604"/>
      <c r="C603" s="604"/>
      <c r="D603" s="604"/>
      <c r="E603" s="604"/>
      <c r="F603" s="604"/>
      <c r="G603" s="604"/>
      <c r="H603" s="604"/>
      <c r="I603" s="604"/>
      <c r="J603" s="604"/>
      <c r="K603" s="604"/>
      <c r="L603" s="604"/>
      <c r="M603" s="604"/>
    </row>
    <row r="604" spans="1:13" ht="18.75" x14ac:dyDescent="0.3">
      <c r="A604" s="604"/>
      <c r="B604" s="604"/>
      <c r="C604" s="604"/>
      <c r="D604" s="604"/>
      <c r="E604" s="604"/>
      <c r="F604" s="604"/>
      <c r="G604" s="604"/>
      <c r="H604" s="604"/>
      <c r="I604" s="604"/>
      <c r="J604" s="604"/>
      <c r="K604" s="604"/>
      <c r="L604" s="604"/>
      <c r="M604" s="604"/>
    </row>
    <row r="605" spans="1:13" ht="18.75" x14ac:dyDescent="0.3">
      <c r="A605" s="604"/>
      <c r="B605" s="604"/>
      <c r="C605" s="604"/>
      <c r="D605" s="604"/>
      <c r="E605" s="604"/>
      <c r="F605" s="604"/>
      <c r="G605" s="604"/>
      <c r="H605" s="604"/>
      <c r="I605" s="604"/>
      <c r="J605" s="604"/>
      <c r="K605" s="604"/>
      <c r="L605" s="604"/>
      <c r="M605" s="604"/>
    </row>
    <row r="606" spans="1:13" ht="18.75" x14ac:dyDescent="0.3">
      <c r="A606" s="604"/>
      <c r="B606" s="604"/>
      <c r="C606" s="604"/>
      <c r="D606" s="604"/>
      <c r="E606" s="604"/>
      <c r="F606" s="604"/>
      <c r="G606" s="604"/>
      <c r="H606" s="604"/>
      <c r="I606" s="604"/>
      <c r="J606" s="604"/>
      <c r="K606" s="604"/>
      <c r="L606" s="604"/>
      <c r="M606" s="604"/>
    </row>
    <row r="607" spans="1:13" ht="18.75" x14ac:dyDescent="0.3">
      <c r="A607" s="604"/>
      <c r="B607" s="604"/>
      <c r="C607" s="604"/>
      <c r="D607" s="604"/>
      <c r="E607" s="604"/>
      <c r="F607" s="604"/>
      <c r="G607" s="604"/>
      <c r="H607" s="604"/>
      <c r="I607" s="604"/>
      <c r="J607" s="604"/>
      <c r="K607" s="604"/>
      <c r="L607" s="604"/>
      <c r="M607" s="604"/>
    </row>
    <row r="608" spans="1:13" ht="18.75" x14ac:dyDescent="0.3">
      <c r="A608" s="604"/>
      <c r="B608" s="604"/>
      <c r="C608" s="604"/>
      <c r="D608" s="604"/>
      <c r="E608" s="604"/>
      <c r="F608" s="604"/>
      <c r="G608" s="604"/>
      <c r="H608" s="604"/>
      <c r="I608" s="604"/>
      <c r="J608" s="604"/>
      <c r="K608" s="604"/>
      <c r="L608" s="604"/>
      <c r="M608" s="604"/>
    </row>
    <row r="609" spans="1:13" ht="18.75" x14ac:dyDescent="0.3">
      <c r="A609" s="604"/>
      <c r="B609" s="604"/>
      <c r="C609" s="604"/>
      <c r="D609" s="604"/>
      <c r="E609" s="604"/>
      <c r="F609" s="604"/>
      <c r="G609" s="604"/>
      <c r="H609" s="604"/>
      <c r="I609" s="604"/>
      <c r="J609" s="604"/>
      <c r="K609" s="604"/>
      <c r="L609" s="604"/>
      <c r="M609" s="604"/>
    </row>
    <row r="610" spans="1:13" ht="18.75" x14ac:dyDescent="0.3">
      <c r="A610" s="604"/>
      <c r="B610" s="604"/>
      <c r="C610" s="604"/>
      <c r="D610" s="604"/>
      <c r="E610" s="604"/>
      <c r="F610" s="604"/>
      <c r="G610" s="604"/>
      <c r="H610" s="604"/>
      <c r="I610" s="604"/>
      <c r="J610" s="604"/>
      <c r="K610" s="604"/>
      <c r="L610" s="604"/>
      <c r="M610" s="604"/>
    </row>
    <row r="611" spans="1:13" ht="18.75" x14ac:dyDescent="0.3">
      <c r="A611" s="604"/>
      <c r="B611" s="604"/>
      <c r="C611" s="604"/>
      <c r="D611" s="604"/>
      <c r="E611" s="604"/>
      <c r="F611" s="604"/>
      <c r="G611" s="604"/>
      <c r="H611" s="604"/>
      <c r="I611" s="604"/>
      <c r="J611" s="604"/>
      <c r="K611" s="604"/>
      <c r="L611" s="604"/>
      <c r="M611" s="604"/>
    </row>
    <row r="612" spans="1:13" ht="18.75" x14ac:dyDescent="0.3">
      <c r="A612" s="604"/>
      <c r="B612" s="604"/>
      <c r="C612" s="604"/>
      <c r="D612" s="604"/>
      <c r="E612" s="604"/>
      <c r="F612" s="604"/>
      <c r="G612" s="604"/>
      <c r="H612" s="604"/>
      <c r="I612" s="604"/>
      <c r="J612" s="604"/>
      <c r="K612" s="604"/>
      <c r="L612" s="604"/>
      <c r="M612" s="604"/>
    </row>
    <row r="613" spans="1:13" ht="18.75" x14ac:dyDescent="0.3">
      <c r="A613" s="604"/>
      <c r="B613" s="604"/>
      <c r="C613" s="604"/>
      <c r="D613" s="604"/>
      <c r="E613" s="604"/>
      <c r="F613" s="604"/>
      <c r="G613" s="604"/>
      <c r="H613" s="604"/>
      <c r="I613" s="604"/>
      <c r="J613" s="604"/>
      <c r="K613" s="604"/>
      <c r="L613" s="604"/>
      <c r="M613" s="604"/>
    </row>
    <row r="614" spans="1:13" ht="18.75" x14ac:dyDescent="0.3">
      <c r="A614" s="604"/>
      <c r="B614" s="604"/>
      <c r="C614" s="604"/>
      <c r="D614" s="604"/>
      <c r="E614" s="604"/>
      <c r="F614" s="604"/>
      <c r="G614" s="604"/>
      <c r="H614" s="604"/>
      <c r="I614" s="604"/>
      <c r="J614" s="604"/>
      <c r="K614" s="604"/>
      <c r="L614" s="604"/>
      <c r="M614" s="604"/>
    </row>
    <row r="615" spans="1:13" ht="18.75" x14ac:dyDescent="0.3">
      <c r="A615" s="604"/>
      <c r="B615" s="604"/>
      <c r="C615" s="604"/>
      <c r="D615" s="604"/>
      <c r="E615" s="604"/>
      <c r="F615" s="604"/>
      <c r="G615" s="604"/>
      <c r="H615" s="604"/>
      <c r="I615" s="604"/>
      <c r="J615" s="604"/>
      <c r="K615" s="604"/>
      <c r="L615" s="604"/>
      <c r="M615" s="604"/>
    </row>
    <row r="616" spans="1:13" ht="18.75" x14ac:dyDescent="0.3">
      <c r="A616" s="604"/>
      <c r="B616" s="604"/>
      <c r="C616" s="604"/>
      <c r="D616" s="604"/>
      <c r="E616" s="604"/>
      <c r="F616" s="604"/>
      <c r="G616" s="604"/>
      <c r="H616" s="604"/>
      <c r="I616" s="604"/>
      <c r="J616" s="604"/>
      <c r="K616" s="604"/>
      <c r="L616" s="604"/>
      <c r="M616" s="604"/>
    </row>
    <row r="617" spans="1:13" ht="18.75" x14ac:dyDescent="0.3">
      <c r="A617" s="604"/>
      <c r="B617" s="604"/>
      <c r="C617" s="604"/>
      <c r="D617" s="604"/>
      <c r="E617" s="604"/>
      <c r="F617" s="604"/>
      <c r="G617" s="604"/>
      <c r="H617" s="604"/>
      <c r="I617" s="604"/>
      <c r="J617" s="604"/>
      <c r="K617" s="604"/>
      <c r="L617" s="604"/>
      <c r="M617" s="604"/>
    </row>
    <row r="618" spans="1:13" ht="18.75" x14ac:dyDescent="0.3">
      <c r="A618" s="604"/>
      <c r="B618" s="604"/>
      <c r="C618" s="604"/>
      <c r="D618" s="604"/>
      <c r="E618" s="604"/>
      <c r="F618" s="604"/>
      <c r="G618" s="604"/>
      <c r="H618" s="604"/>
      <c r="I618" s="604"/>
      <c r="J618" s="604"/>
      <c r="K618" s="604"/>
      <c r="L618" s="604"/>
      <c r="M618" s="604"/>
    </row>
    <row r="619" spans="1:13" ht="18.75" x14ac:dyDescent="0.3">
      <c r="A619" s="604"/>
      <c r="B619" s="604"/>
      <c r="C619" s="604"/>
      <c r="D619" s="604"/>
      <c r="E619" s="604"/>
      <c r="F619" s="604"/>
      <c r="G619" s="604"/>
      <c r="H619" s="604"/>
      <c r="I619" s="604"/>
      <c r="J619" s="604"/>
      <c r="K619" s="604"/>
      <c r="L619" s="604"/>
      <c r="M619" s="604"/>
    </row>
    <row r="620" spans="1:13" ht="18.75" x14ac:dyDescent="0.3">
      <c r="A620" s="604"/>
      <c r="B620" s="604"/>
      <c r="C620" s="604"/>
      <c r="D620" s="604"/>
      <c r="E620" s="604"/>
      <c r="F620" s="604"/>
      <c r="G620" s="604"/>
      <c r="H620" s="604"/>
      <c r="I620" s="604"/>
      <c r="J620" s="604"/>
      <c r="K620" s="604"/>
      <c r="L620" s="604"/>
      <c r="M620" s="604"/>
    </row>
    <row r="621" spans="1:13" ht="18.75" x14ac:dyDescent="0.3">
      <c r="A621" s="604"/>
      <c r="B621" s="604"/>
      <c r="C621" s="604"/>
      <c r="D621" s="604"/>
      <c r="E621" s="604"/>
      <c r="F621" s="604"/>
      <c r="G621" s="604"/>
      <c r="H621" s="604"/>
      <c r="I621" s="604"/>
      <c r="J621" s="604"/>
      <c r="K621" s="604"/>
      <c r="L621" s="604"/>
      <c r="M621" s="604"/>
    </row>
    <row r="622" spans="1:13" ht="18.75" x14ac:dyDescent="0.3">
      <c r="A622" s="604"/>
      <c r="B622" s="604"/>
      <c r="C622" s="604"/>
      <c r="D622" s="604"/>
      <c r="E622" s="604"/>
      <c r="F622" s="604"/>
      <c r="G622" s="604"/>
      <c r="H622" s="604"/>
      <c r="I622" s="604"/>
      <c r="J622" s="604"/>
      <c r="K622" s="604"/>
      <c r="L622" s="604"/>
      <c r="M622" s="604"/>
    </row>
    <row r="623" spans="1:13" ht="18.75" x14ac:dyDescent="0.3">
      <c r="A623" s="604"/>
      <c r="B623" s="604"/>
      <c r="C623" s="604"/>
      <c r="D623" s="604"/>
      <c r="E623" s="604"/>
      <c r="F623" s="604"/>
      <c r="G623" s="604"/>
      <c r="H623" s="604"/>
      <c r="I623" s="604"/>
      <c r="J623" s="604"/>
      <c r="K623" s="604"/>
      <c r="L623" s="604"/>
      <c r="M623" s="604"/>
    </row>
    <row r="624" spans="1:13" ht="18.75" x14ac:dyDescent="0.3">
      <c r="A624" s="604"/>
      <c r="B624" s="604"/>
      <c r="C624" s="604"/>
      <c r="D624" s="604"/>
      <c r="E624" s="604"/>
      <c r="F624" s="604"/>
      <c r="G624" s="604"/>
      <c r="H624" s="604"/>
      <c r="I624" s="604"/>
      <c r="J624" s="604"/>
      <c r="K624" s="604"/>
      <c r="L624" s="604"/>
      <c r="M624" s="604"/>
    </row>
    <row r="625" spans="1:13" ht="18.75" x14ac:dyDescent="0.3">
      <c r="A625" s="604"/>
      <c r="B625" s="604"/>
      <c r="C625" s="604"/>
      <c r="D625" s="604"/>
      <c r="E625" s="604"/>
      <c r="F625" s="604"/>
      <c r="G625" s="604"/>
      <c r="H625" s="604"/>
      <c r="I625" s="604"/>
      <c r="J625" s="604"/>
      <c r="K625" s="604"/>
      <c r="L625" s="604"/>
      <c r="M625" s="604"/>
    </row>
    <row r="626" spans="1:13" ht="18.75" x14ac:dyDescent="0.3">
      <c r="A626" s="604"/>
      <c r="B626" s="604"/>
      <c r="C626" s="604"/>
      <c r="D626" s="604"/>
      <c r="E626" s="604"/>
      <c r="F626" s="604"/>
      <c r="G626" s="604"/>
      <c r="H626" s="604"/>
      <c r="I626" s="604"/>
      <c r="J626" s="604"/>
      <c r="K626" s="604"/>
      <c r="L626" s="604"/>
      <c r="M626" s="604"/>
    </row>
    <row r="627" spans="1:13" ht="18.75" x14ac:dyDescent="0.3">
      <c r="A627" s="604"/>
      <c r="B627" s="604"/>
      <c r="C627" s="604"/>
      <c r="D627" s="604"/>
      <c r="E627" s="604"/>
      <c r="F627" s="604"/>
      <c r="G627" s="604"/>
      <c r="H627" s="604"/>
      <c r="I627" s="604"/>
      <c r="J627" s="604"/>
      <c r="K627" s="604"/>
      <c r="L627" s="604"/>
      <c r="M627" s="604"/>
    </row>
    <row r="628" spans="1:13" ht="18.75" x14ac:dyDescent="0.3">
      <c r="A628" s="604"/>
      <c r="B628" s="604"/>
      <c r="C628" s="604"/>
      <c r="D628" s="604"/>
      <c r="E628" s="604"/>
      <c r="F628" s="604"/>
      <c r="G628" s="604"/>
      <c r="H628" s="604"/>
      <c r="I628" s="604"/>
      <c r="J628" s="604"/>
      <c r="K628" s="604"/>
      <c r="L628" s="604"/>
      <c r="M628" s="604"/>
    </row>
    <row r="629" spans="1:13" ht="18.75" x14ac:dyDescent="0.3">
      <c r="A629" s="604"/>
      <c r="B629" s="604"/>
      <c r="C629" s="604"/>
      <c r="D629" s="604"/>
      <c r="E629" s="604"/>
      <c r="F629" s="604"/>
      <c r="G629" s="604"/>
      <c r="H629" s="604"/>
      <c r="I629" s="604"/>
      <c r="J629" s="604"/>
      <c r="K629" s="604"/>
      <c r="L629" s="604"/>
      <c r="M629" s="604"/>
    </row>
    <row r="630" spans="1:13" ht="18.75" x14ac:dyDescent="0.3">
      <c r="A630" s="604"/>
      <c r="B630" s="604"/>
      <c r="C630" s="604"/>
      <c r="D630" s="604"/>
      <c r="E630" s="604"/>
      <c r="F630" s="604"/>
      <c r="G630" s="604"/>
      <c r="H630" s="604"/>
      <c r="I630" s="604"/>
      <c r="J630" s="604"/>
      <c r="K630" s="604"/>
      <c r="L630" s="604"/>
      <c r="M630" s="604"/>
    </row>
    <row r="631" spans="1:13" ht="18.75" x14ac:dyDescent="0.3">
      <c r="A631" s="604"/>
      <c r="B631" s="604"/>
      <c r="C631" s="604"/>
      <c r="D631" s="604"/>
      <c r="E631" s="604"/>
      <c r="F631" s="604"/>
      <c r="G631" s="604"/>
      <c r="H631" s="604"/>
      <c r="I631" s="604"/>
      <c r="J631" s="604"/>
      <c r="K631" s="604"/>
      <c r="L631" s="604"/>
      <c r="M631" s="604"/>
    </row>
    <row r="632" spans="1:13" ht="18.75" x14ac:dyDescent="0.3">
      <c r="A632" s="604"/>
      <c r="B632" s="604"/>
      <c r="C632" s="604"/>
      <c r="D632" s="604"/>
      <c r="E632" s="604"/>
      <c r="F632" s="604"/>
      <c r="G632" s="604"/>
      <c r="H632" s="604"/>
      <c r="I632" s="604"/>
      <c r="J632" s="604"/>
      <c r="K632" s="604"/>
      <c r="L632" s="604"/>
      <c r="M632" s="604"/>
    </row>
    <row r="633" spans="1:13" ht="18.75" x14ac:dyDescent="0.3">
      <c r="A633" s="604"/>
      <c r="B633" s="604"/>
      <c r="C633" s="604"/>
      <c r="D633" s="604"/>
      <c r="E633" s="604"/>
      <c r="F633" s="604"/>
      <c r="G633" s="604"/>
      <c r="H633" s="604"/>
      <c r="I633" s="604"/>
      <c r="J633" s="604"/>
      <c r="K633" s="604"/>
      <c r="L633" s="604"/>
      <c r="M633" s="604"/>
    </row>
    <row r="634" spans="1:13" ht="18.75" x14ac:dyDescent="0.3">
      <c r="A634" s="604"/>
      <c r="B634" s="604"/>
      <c r="C634" s="604"/>
      <c r="D634" s="604"/>
      <c r="E634" s="604"/>
      <c r="F634" s="604"/>
      <c r="G634" s="604"/>
      <c r="H634" s="604"/>
      <c r="I634" s="604"/>
      <c r="J634" s="604"/>
      <c r="K634" s="604"/>
      <c r="L634" s="604"/>
      <c r="M634" s="604"/>
    </row>
    <row r="635" spans="1:13" ht="18.75" x14ac:dyDescent="0.3">
      <c r="A635" s="604"/>
      <c r="B635" s="604"/>
      <c r="C635" s="604"/>
      <c r="D635" s="604"/>
      <c r="E635" s="604"/>
      <c r="F635" s="604"/>
      <c r="G635" s="604"/>
      <c r="H635" s="604"/>
      <c r="I635" s="604"/>
      <c r="J635" s="604"/>
      <c r="K635" s="604"/>
      <c r="L635" s="604"/>
      <c r="M635" s="604"/>
    </row>
    <row r="636" spans="1:13" ht="18.75" x14ac:dyDescent="0.3">
      <c r="A636" s="604"/>
      <c r="B636" s="604"/>
      <c r="C636" s="604"/>
      <c r="D636" s="604"/>
      <c r="E636" s="604"/>
      <c r="F636" s="604"/>
      <c r="G636" s="604"/>
      <c r="H636" s="604"/>
      <c r="I636" s="604"/>
      <c r="J636" s="604"/>
      <c r="K636" s="604"/>
      <c r="L636" s="604"/>
      <c r="M636" s="604"/>
    </row>
    <row r="637" spans="1:13" ht="18.75" x14ac:dyDescent="0.3">
      <c r="A637" s="604"/>
      <c r="B637" s="604"/>
      <c r="C637" s="604"/>
      <c r="D637" s="604"/>
      <c r="E637" s="604"/>
      <c r="F637" s="604"/>
      <c r="G637" s="604"/>
      <c r="H637" s="604"/>
      <c r="I637" s="604"/>
      <c r="J637" s="604"/>
      <c r="K637" s="604"/>
      <c r="L637" s="604"/>
      <c r="M637" s="604"/>
    </row>
    <row r="638" spans="1:13" ht="18.75" x14ac:dyDescent="0.3">
      <c r="A638" s="604"/>
      <c r="B638" s="604"/>
      <c r="C638" s="604"/>
      <c r="D638" s="604"/>
      <c r="E638" s="604"/>
      <c r="F638" s="604"/>
      <c r="G638" s="604"/>
      <c r="H638" s="604"/>
      <c r="I638" s="604"/>
      <c r="J638" s="604"/>
      <c r="K638" s="604"/>
      <c r="L638" s="604"/>
      <c r="M638" s="604"/>
    </row>
    <row r="639" spans="1:13" ht="18.75" x14ac:dyDescent="0.3">
      <c r="A639" s="604"/>
      <c r="B639" s="604"/>
      <c r="C639" s="604"/>
      <c r="D639" s="604"/>
      <c r="E639" s="604"/>
      <c r="F639" s="604"/>
      <c r="G639" s="604"/>
      <c r="H639" s="604"/>
      <c r="I639" s="604"/>
      <c r="J639" s="604"/>
      <c r="K639" s="604"/>
      <c r="L639" s="604"/>
      <c r="M639" s="604"/>
    </row>
    <row r="640" spans="1:13" ht="18.75" x14ac:dyDescent="0.3">
      <c r="A640" s="604"/>
      <c r="B640" s="604"/>
      <c r="C640" s="604"/>
      <c r="D640" s="604"/>
      <c r="E640" s="604"/>
      <c r="F640" s="604"/>
      <c r="G640" s="604"/>
      <c r="H640" s="604"/>
      <c r="I640" s="604"/>
      <c r="J640" s="604"/>
      <c r="K640" s="604"/>
      <c r="L640" s="604"/>
      <c r="M640" s="604"/>
    </row>
    <row r="641" spans="1:13" ht="18.75" x14ac:dyDescent="0.3">
      <c r="A641" s="604"/>
      <c r="B641" s="604"/>
      <c r="C641" s="604"/>
      <c r="D641" s="604"/>
      <c r="E641" s="604"/>
      <c r="F641" s="604"/>
      <c r="G641" s="604"/>
      <c r="H641" s="604"/>
      <c r="I641" s="604"/>
      <c r="J641" s="604"/>
      <c r="K641" s="604"/>
      <c r="L641" s="604"/>
      <c r="M641" s="604"/>
    </row>
    <row r="642" spans="1:13" ht="18.75" x14ac:dyDescent="0.3">
      <c r="A642" s="604"/>
      <c r="B642" s="604"/>
      <c r="C642" s="604"/>
      <c r="D642" s="604"/>
      <c r="E642" s="604"/>
      <c r="F642" s="604"/>
      <c r="G642" s="604"/>
      <c r="H642" s="604"/>
      <c r="I642" s="604"/>
      <c r="J642" s="604"/>
      <c r="K642" s="604"/>
      <c r="L642" s="604"/>
      <c r="M642" s="604"/>
    </row>
    <row r="643" spans="1:13" ht="18.75" x14ac:dyDescent="0.3">
      <c r="A643" s="604"/>
      <c r="B643" s="604"/>
      <c r="C643" s="604"/>
      <c r="D643" s="604"/>
      <c r="E643" s="604"/>
      <c r="F643" s="604"/>
      <c r="G643" s="604"/>
      <c r="H643" s="604"/>
      <c r="I643" s="604"/>
      <c r="J643" s="604"/>
      <c r="K643" s="604"/>
      <c r="L643" s="604"/>
      <c r="M643" s="604"/>
    </row>
    <row r="644" spans="1:13" ht="18.75" x14ac:dyDescent="0.3">
      <c r="A644" s="604"/>
      <c r="B644" s="604"/>
      <c r="C644" s="604"/>
      <c r="D644" s="604"/>
      <c r="E644" s="604"/>
      <c r="F644" s="604"/>
      <c r="G644" s="604"/>
      <c r="H644" s="604"/>
      <c r="I644" s="604"/>
      <c r="J644" s="604"/>
      <c r="K644" s="604"/>
      <c r="L644" s="604"/>
      <c r="M644" s="604"/>
    </row>
    <row r="645" spans="1:13" ht="18.75" x14ac:dyDescent="0.3">
      <c r="A645" s="604"/>
      <c r="B645" s="604"/>
      <c r="C645" s="604"/>
      <c r="D645" s="604"/>
      <c r="E645" s="604"/>
      <c r="F645" s="604"/>
      <c r="G645" s="604"/>
      <c r="H645" s="604"/>
      <c r="I645" s="604"/>
      <c r="J645" s="604"/>
      <c r="K645" s="604"/>
      <c r="L645" s="604"/>
      <c r="M645" s="604"/>
    </row>
    <row r="646" spans="1:13" ht="18.75" x14ac:dyDescent="0.3">
      <c r="A646" s="604"/>
      <c r="B646" s="604"/>
      <c r="C646" s="604"/>
      <c r="D646" s="604"/>
      <c r="E646" s="604"/>
      <c r="F646" s="604"/>
      <c r="G646" s="604"/>
      <c r="H646" s="604"/>
      <c r="I646" s="604"/>
      <c r="J646" s="604"/>
      <c r="K646" s="604"/>
      <c r="L646" s="604"/>
      <c r="M646" s="604"/>
    </row>
    <row r="647" spans="1:13" ht="18.75" x14ac:dyDescent="0.3">
      <c r="A647" s="604"/>
      <c r="B647" s="604"/>
      <c r="C647" s="604"/>
      <c r="D647" s="604"/>
      <c r="E647" s="604"/>
      <c r="F647" s="604"/>
      <c r="G647" s="604"/>
      <c r="H647" s="604"/>
      <c r="I647" s="604"/>
      <c r="J647" s="604"/>
      <c r="K647" s="604"/>
      <c r="L647" s="604"/>
      <c r="M647" s="604"/>
    </row>
    <row r="648" spans="1:13" ht="18.75" x14ac:dyDescent="0.3">
      <c r="A648" s="604"/>
      <c r="B648" s="604"/>
      <c r="C648" s="604"/>
      <c r="D648" s="604"/>
      <c r="E648" s="604"/>
      <c r="F648" s="604"/>
      <c r="G648" s="604"/>
      <c r="H648" s="604"/>
      <c r="I648" s="604"/>
      <c r="J648" s="604"/>
      <c r="K648" s="604"/>
      <c r="L648" s="604"/>
      <c r="M648" s="604"/>
    </row>
    <row r="649" spans="1:13" ht="18.75" x14ac:dyDescent="0.3">
      <c r="A649" s="604"/>
      <c r="B649" s="604"/>
      <c r="C649" s="604"/>
      <c r="D649" s="604"/>
      <c r="E649" s="604"/>
      <c r="F649" s="604"/>
      <c r="G649" s="604"/>
      <c r="H649" s="604"/>
      <c r="I649" s="604"/>
      <c r="J649" s="604"/>
      <c r="K649" s="604"/>
      <c r="L649" s="604"/>
      <c r="M649" s="604"/>
    </row>
    <row r="650" spans="1:13" ht="18.75" x14ac:dyDescent="0.3">
      <c r="A650" s="604"/>
      <c r="B650" s="604"/>
      <c r="C650" s="604"/>
      <c r="D650" s="604"/>
      <c r="E650" s="604"/>
      <c r="F650" s="604"/>
      <c r="G650" s="604"/>
      <c r="H650" s="604"/>
      <c r="I650" s="604"/>
      <c r="J650" s="604"/>
      <c r="K650" s="604"/>
      <c r="L650" s="604"/>
      <c r="M650" s="604"/>
    </row>
    <row r="651" spans="1:13" ht="18.75" x14ac:dyDescent="0.3">
      <c r="A651" s="604"/>
      <c r="B651" s="604"/>
      <c r="C651" s="604"/>
      <c r="D651" s="604"/>
      <c r="E651" s="604"/>
      <c r="F651" s="604"/>
      <c r="G651" s="604"/>
      <c r="H651" s="604"/>
      <c r="I651" s="604"/>
      <c r="J651" s="604"/>
      <c r="K651" s="604"/>
      <c r="L651" s="604"/>
      <c r="M651" s="604"/>
    </row>
    <row r="652" spans="1:13" ht="18.75" x14ac:dyDescent="0.3">
      <c r="A652" s="604"/>
      <c r="B652" s="604"/>
      <c r="C652" s="604"/>
      <c r="D652" s="604"/>
      <c r="E652" s="604"/>
      <c r="F652" s="604"/>
      <c r="G652" s="604"/>
      <c r="H652" s="604"/>
      <c r="I652" s="604"/>
      <c r="J652" s="604"/>
      <c r="K652" s="604"/>
      <c r="L652" s="604"/>
      <c r="M652" s="604"/>
    </row>
    <row r="653" spans="1:13" ht="18.75" x14ac:dyDescent="0.3">
      <c r="A653" s="604"/>
      <c r="B653" s="604"/>
      <c r="C653" s="604"/>
      <c r="D653" s="604"/>
      <c r="E653" s="604"/>
      <c r="F653" s="604"/>
      <c r="G653" s="604"/>
      <c r="H653" s="604"/>
      <c r="I653" s="604"/>
      <c r="J653" s="604"/>
      <c r="K653" s="604"/>
      <c r="L653" s="604"/>
      <c r="M653" s="604"/>
    </row>
    <row r="654" spans="1:13" ht="18.75" x14ac:dyDescent="0.3">
      <c r="A654" s="604"/>
      <c r="B654" s="604"/>
      <c r="C654" s="604"/>
      <c r="D654" s="604"/>
      <c r="E654" s="604"/>
      <c r="F654" s="604"/>
      <c r="G654" s="604"/>
      <c r="H654" s="604"/>
      <c r="I654" s="604"/>
      <c r="J654" s="604"/>
      <c r="K654" s="604"/>
      <c r="L654" s="604"/>
      <c r="M654" s="604"/>
    </row>
    <row r="655" spans="1:13" ht="18.75" x14ac:dyDescent="0.3">
      <c r="A655" s="604"/>
      <c r="B655" s="604"/>
      <c r="C655" s="604"/>
      <c r="D655" s="604"/>
      <c r="E655" s="604"/>
      <c r="F655" s="604"/>
      <c r="G655" s="604"/>
      <c r="H655" s="604"/>
      <c r="I655" s="604"/>
      <c r="J655" s="604"/>
      <c r="K655" s="604"/>
      <c r="L655" s="604"/>
      <c r="M655" s="604"/>
    </row>
    <row r="656" spans="1:13" ht="18.75" x14ac:dyDescent="0.3">
      <c r="A656" s="604"/>
      <c r="B656" s="604"/>
      <c r="C656" s="604"/>
      <c r="D656" s="604"/>
      <c r="E656" s="604"/>
      <c r="F656" s="604"/>
      <c r="G656" s="604"/>
      <c r="H656" s="604"/>
      <c r="I656" s="604"/>
      <c r="J656" s="604"/>
      <c r="K656" s="604"/>
      <c r="L656" s="604"/>
      <c r="M656" s="604"/>
    </row>
    <row r="657" spans="1:13" ht="18.75" x14ac:dyDescent="0.3">
      <c r="A657" s="604"/>
      <c r="B657" s="604"/>
      <c r="C657" s="604"/>
      <c r="D657" s="604"/>
      <c r="E657" s="604"/>
      <c r="F657" s="604"/>
      <c r="G657" s="604"/>
      <c r="H657" s="604"/>
      <c r="I657" s="604"/>
      <c r="J657" s="604"/>
      <c r="K657" s="604"/>
      <c r="L657" s="604"/>
      <c r="M657" s="604"/>
    </row>
    <row r="658" spans="1:13" ht="18.75" x14ac:dyDescent="0.3">
      <c r="A658" s="604"/>
      <c r="B658" s="604"/>
      <c r="C658" s="604"/>
      <c r="D658" s="604"/>
      <c r="E658" s="604"/>
      <c r="F658" s="604"/>
      <c r="G658" s="604"/>
      <c r="H658" s="604"/>
      <c r="I658" s="604"/>
      <c r="J658" s="604"/>
      <c r="K658" s="604"/>
      <c r="L658" s="604"/>
      <c r="M658" s="604"/>
    </row>
    <row r="659" spans="1:13" ht="18.75" x14ac:dyDescent="0.3">
      <c r="A659" s="604"/>
      <c r="B659" s="604"/>
      <c r="C659" s="604"/>
      <c r="D659" s="604"/>
      <c r="E659" s="604"/>
      <c r="F659" s="604"/>
      <c r="G659" s="604"/>
      <c r="H659" s="604"/>
      <c r="I659" s="604"/>
      <c r="J659" s="604"/>
      <c r="K659" s="604"/>
      <c r="L659" s="604"/>
      <c r="M659" s="604"/>
    </row>
    <row r="660" spans="1:13" ht="18.75" x14ac:dyDescent="0.3">
      <c r="A660" s="604"/>
      <c r="B660" s="604"/>
      <c r="C660" s="604"/>
      <c r="D660" s="604"/>
      <c r="E660" s="604"/>
      <c r="F660" s="604"/>
      <c r="G660" s="604"/>
      <c r="H660" s="604"/>
      <c r="I660" s="604"/>
      <c r="J660" s="604"/>
      <c r="K660" s="604"/>
      <c r="L660" s="604"/>
      <c r="M660" s="604"/>
    </row>
    <row r="661" spans="1:13" ht="18.75" x14ac:dyDescent="0.3">
      <c r="A661" s="604"/>
      <c r="B661" s="604"/>
      <c r="C661" s="604"/>
      <c r="D661" s="604"/>
      <c r="E661" s="604"/>
      <c r="F661" s="604"/>
      <c r="G661" s="604"/>
      <c r="H661" s="604"/>
      <c r="I661" s="604"/>
      <c r="J661" s="604"/>
      <c r="K661" s="604"/>
      <c r="L661" s="604"/>
      <c r="M661" s="604"/>
    </row>
    <row r="662" spans="1:13" ht="18.75" x14ac:dyDescent="0.3">
      <c r="A662" s="604"/>
      <c r="B662" s="604"/>
      <c r="C662" s="604"/>
      <c r="D662" s="604"/>
      <c r="E662" s="604"/>
      <c r="F662" s="604"/>
      <c r="G662" s="604"/>
      <c r="H662" s="604"/>
      <c r="I662" s="604"/>
      <c r="J662" s="604"/>
      <c r="K662" s="604"/>
      <c r="L662" s="604"/>
      <c r="M662" s="604"/>
    </row>
    <row r="663" spans="1:13" ht="18.75" x14ac:dyDescent="0.3">
      <c r="A663" s="604"/>
      <c r="B663" s="604"/>
      <c r="C663" s="604"/>
      <c r="D663" s="604"/>
      <c r="E663" s="604"/>
      <c r="F663" s="604"/>
      <c r="G663" s="604"/>
      <c r="H663" s="604"/>
      <c r="I663" s="604"/>
      <c r="J663" s="604"/>
      <c r="K663" s="604"/>
      <c r="L663" s="604"/>
      <c r="M663" s="604"/>
    </row>
    <row r="664" spans="1:13" ht="18.75" x14ac:dyDescent="0.3">
      <c r="A664" s="604"/>
      <c r="B664" s="604"/>
      <c r="C664" s="604"/>
      <c r="D664" s="604"/>
      <c r="E664" s="604"/>
      <c r="F664" s="604"/>
      <c r="G664" s="604"/>
      <c r="H664" s="604"/>
      <c r="I664" s="604"/>
      <c r="J664" s="604"/>
      <c r="K664" s="604"/>
      <c r="L664" s="604"/>
      <c r="M664" s="604"/>
    </row>
    <row r="665" spans="1:13" ht="18.75" x14ac:dyDescent="0.3">
      <c r="A665" s="604"/>
      <c r="B665" s="604"/>
      <c r="C665" s="604"/>
      <c r="D665" s="604"/>
      <c r="E665" s="604"/>
      <c r="F665" s="604"/>
      <c r="G665" s="604"/>
      <c r="H665" s="604"/>
      <c r="I665" s="604"/>
      <c r="J665" s="604"/>
      <c r="K665" s="604"/>
      <c r="L665" s="604"/>
      <c r="M665" s="604"/>
    </row>
    <row r="666" spans="1:13" ht="18.75" x14ac:dyDescent="0.3">
      <c r="A666" s="604"/>
      <c r="B666" s="604"/>
      <c r="C666" s="604"/>
      <c r="D666" s="604"/>
      <c r="E666" s="604"/>
      <c r="F666" s="604"/>
      <c r="G666" s="604"/>
      <c r="H666" s="604"/>
      <c r="I666" s="604"/>
      <c r="J666" s="604"/>
      <c r="K666" s="604"/>
      <c r="L666" s="604"/>
      <c r="M666" s="604"/>
    </row>
    <row r="667" spans="1:13" ht="18.75" x14ac:dyDescent="0.3">
      <c r="A667" s="604"/>
      <c r="B667" s="604"/>
      <c r="C667" s="604"/>
      <c r="D667" s="604"/>
      <c r="E667" s="604"/>
      <c r="F667" s="604"/>
      <c r="G667" s="604"/>
      <c r="H667" s="604"/>
      <c r="I667" s="604"/>
      <c r="J667" s="604"/>
      <c r="K667" s="604"/>
      <c r="L667" s="604"/>
      <c r="M667" s="604"/>
    </row>
    <row r="668" spans="1:13" ht="18.75" x14ac:dyDescent="0.3">
      <c r="A668" s="604"/>
      <c r="B668" s="604"/>
      <c r="C668" s="604"/>
      <c r="D668" s="604"/>
      <c r="E668" s="604"/>
      <c r="F668" s="604"/>
      <c r="G668" s="604"/>
      <c r="H668" s="604"/>
      <c r="I668" s="604"/>
      <c r="J668" s="604"/>
      <c r="K668" s="604"/>
      <c r="L668" s="604"/>
      <c r="M668" s="604"/>
    </row>
    <row r="669" spans="1:13" ht="18.75" x14ac:dyDescent="0.3">
      <c r="A669" s="604"/>
      <c r="B669" s="604"/>
      <c r="C669" s="604"/>
      <c r="D669" s="604"/>
      <c r="E669" s="604"/>
      <c r="F669" s="604"/>
      <c r="G669" s="604"/>
      <c r="H669" s="604"/>
      <c r="I669" s="604"/>
      <c r="J669" s="604"/>
      <c r="K669" s="604"/>
      <c r="L669" s="604"/>
      <c r="M669" s="604"/>
    </row>
    <row r="670" spans="1:13" ht="18.75" x14ac:dyDescent="0.3">
      <c r="A670" s="604"/>
      <c r="B670" s="604"/>
      <c r="C670" s="604"/>
      <c r="D670" s="604"/>
      <c r="E670" s="604"/>
      <c r="F670" s="604"/>
      <c r="G670" s="604"/>
      <c r="H670" s="604"/>
      <c r="I670" s="604"/>
      <c r="J670" s="604"/>
      <c r="K670" s="604"/>
      <c r="L670" s="604"/>
      <c r="M670" s="604"/>
    </row>
    <row r="671" spans="1:13" ht="18.75" x14ac:dyDescent="0.3">
      <c r="A671" s="604"/>
      <c r="B671" s="604"/>
      <c r="C671" s="604"/>
      <c r="D671" s="604"/>
      <c r="E671" s="604"/>
      <c r="F671" s="604"/>
      <c r="G671" s="604"/>
      <c r="H671" s="604"/>
      <c r="I671" s="604"/>
      <c r="J671" s="604"/>
      <c r="K671" s="604"/>
      <c r="L671" s="604"/>
      <c r="M671" s="604"/>
    </row>
    <row r="672" spans="1:13" ht="18.75" x14ac:dyDescent="0.3">
      <c r="A672" s="604"/>
      <c r="B672" s="604"/>
      <c r="C672" s="604"/>
      <c r="D672" s="604"/>
      <c r="E672" s="604"/>
      <c r="F672" s="604"/>
      <c r="G672" s="604"/>
      <c r="H672" s="604"/>
      <c r="I672" s="604"/>
      <c r="J672" s="604"/>
      <c r="K672" s="604"/>
      <c r="L672" s="604"/>
      <c r="M672" s="604"/>
    </row>
    <row r="673" spans="1:13" ht="18.75" x14ac:dyDescent="0.3">
      <c r="A673" s="604"/>
      <c r="B673" s="604"/>
      <c r="C673" s="604"/>
      <c r="D673" s="604"/>
      <c r="E673" s="604"/>
      <c r="F673" s="604"/>
      <c r="G673" s="604"/>
      <c r="H673" s="604"/>
      <c r="I673" s="604"/>
      <c r="J673" s="604"/>
      <c r="K673" s="604"/>
      <c r="L673" s="604"/>
      <c r="M673" s="604"/>
    </row>
    <row r="674" spans="1:13" ht="18.75" x14ac:dyDescent="0.3">
      <c r="A674" s="604"/>
      <c r="B674" s="604"/>
      <c r="C674" s="604"/>
      <c r="D674" s="604"/>
      <c r="E674" s="604"/>
      <c r="F674" s="604"/>
      <c r="G674" s="604"/>
      <c r="H674" s="604"/>
      <c r="I674" s="604"/>
      <c r="J674" s="604"/>
      <c r="K674" s="604"/>
      <c r="L674" s="604"/>
      <c r="M674" s="604"/>
    </row>
    <row r="675" spans="1:13" ht="18.75" x14ac:dyDescent="0.3">
      <c r="A675" s="604"/>
      <c r="B675" s="604"/>
      <c r="C675" s="604"/>
      <c r="D675" s="604"/>
      <c r="E675" s="604"/>
      <c r="F675" s="604"/>
      <c r="G675" s="604"/>
      <c r="H675" s="604"/>
      <c r="I675" s="604"/>
      <c r="J675" s="604"/>
      <c r="K675" s="604"/>
      <c r="L675" s="604"/>
      <c r="M675" s="604"/>
    </row>
    <row r="676" spans="1:13" ht="18.75" x14ac:dyDescent="0.3">
      <c r="A676" s="604"/>
      <c r="B676" s="604"/>
      <c r="C676" s="604"/>
      <c r="D676" s="604"/>
      <c r="E676" s="604"/>
      <c r="F676" s="604"/>
      <c r="G676" s="604"/>
      <c r="H676" s="604"/>
      <c r="I676" s="604"/>
      <c r="J676" s="604"/>
      <c r="K676" s="604"/>
      <c r="L676" s="604"/>
      <c r="M676" s="604"/>
    </row>
    <row r="677" spans="1:13" ht="18.75" x14ac:dyDescent="0.3">
      <c r="A677" s="604"/>
      <c r="B677" s="604"/>
      <c r="C677" s="604"/>
      <c r="D677" s="604"/>
      <c r="E677" s="604"/>
      <c r="F677" s="604"/>
      <c r="G677" s="604"/>
      <c r="H677" s="604"/>
      <c r="I677" s="604"/>
      <c r="J677" s="604"/>
      <c r="K677" s="604"/>
      <c r="L677" s="604"/>
      <c r="M677" s="604"/>
    </row>
    <row r="678" spans="1:13" ht="18.75" x14ac:dyDescent="0.3">
      <c r="A678" s="604"/>
      <c r="B678" s="604"/>
      <c r="C678" s="604"/>
      <c r="D678" s="604"/>
      <c r="E678" s="604"/>
      <c r="F678" s="604"/>
      <c r="G678" s="604"/>
      <c r="H678" s="604"/>
      <c r="I678" s="604"/>
      <c r="J678" s="604"/>
      <c r="K678" s="604"/>
      <c r="L678" s="604"/>
      <c r="M678" s="604"/>
    </row>
    <row r="679" spans="1:13" ht="18.75" x14ac:dyDescent="0.3">
      <c r="A679" s="604"/>
      <c r="B679" s="604"/>
      <c r="C679" s="604"/>
      <c r="D679" s="604"/>
      <c r="E679" s="604"/>
      <c r="F679" s="604"/>
      <c r="G679" s="604"/>
      <c r="H679" s="604"/>
      <c r="I679" s="604"/>
      <c r="J679" s="604"/>
      <c r="K679" s="604"/>
      <c r="L679" s="604"/>
      <c r="M679" s="604"/>
    </row>
    <row r="680" spans="1:13" ht="18.75" x14ac:dyDescent="0.3">
      <c r="A680" s="604"/>
      <c r="B680" s="604"/>
      <c r="C680" s="604"/>
      <c r="D680" s="604"/>
      <c r="E680" s="604"/>
      <c r="F680" s="604"/>
      <c r="G680" s="604"/>
      <c r="H680" s="604"/>
      <c r="I680" s="604"/>
      <c r="J680" s="604"/>
      <c r="K680" s="604"/>
      <c r="L680" s="604"/>
      <c r="M680" s="604"/>
    </row>
    <row r="681" spans="1:13" ht="18.75" x14ac:dyDescent="0.3">
      <c r="A681" s="604"/>
      <c r="B681" s="604"/>
      <c r="C681" s="604"/>
      <c r="D681" s="604"/>
      <c r="E681" s="604"/>
      <c r="F681" s="604"/>
      <c r="G681" s="604"/>
      <c r="H681" s="604"/>
      <c r="I681" s="604"/>
      <c r="J681" s="604"/>
      <c r="K681" s="604"/>
      <c r="L681" s="604"/>
      <c r="M681" s="604"/>
    </row>
    <row r="682" spans="1:13" ht="18.75" x14ac:dyDescent="0.3">
      <c r="A682" s="604"/>
      <c r="B682" s="604"/>
      <c r="C682" s="604"/>
      <c r="D682" s="604"/>
      <c r="E682" s="604"/>
      <c r="F682" s="604"/>
      <c r="G682" s="604"/>
      <c r="H682" s="604"/>
      <c r="I682" s="604"/>
      <c r="J682" s="604"/>
      <c r="K682" s="604"/>
      <c r="L682" s="604"/>
      <c r="M682" s="604"/>
    </row>
    <row r="683" spans="1:13" ht="18.75" x14ac:dyDescent="0.3">
      <c r="A683" s="604"/>
      <c r="B683" s="604"/>
      <c r="C683" s="604"/>
      <c r="D683" s="604"/>
      <c r="E683" s="604"/>
      <c r="F683" s="604"/>
      <c r="G683" s="604"/>
      <c r="H683" s="604"/>
      <c r="I683" s="604"/>
      <c r="J683" s="604"/>
      <c r="K683" s="604"/>
      <c r="L683" s="604"/>
      <c r="M683" s="604"/>
    </row>
    <row r="684" spans="1:13" ht="18.75" x14ac:dyDescent="0.3">
      <c r="A684" s="604"/>
      <c r="B684" s="604"/>
      <c r="C684" s="604"/>
      <c r="D684" s="604"/>
      <c r="E684" s="604"/>
      <c r="F684" s="604"/>
      <c r="G684" s="604"/>
      <c r="H684" s="604"/>
      <c r="I684" s="604"/>
      <c r="J684" s="604"/>
      <c r="K684" s="604"/>
      <c r="L684" s="604"/>
      <c r="M684" s="604"/>
    </row>
    <row r="685" spans="1:13" ht="18.75" x14ac:dyDescent="0.3">
      <c r="A685" s="604"/>
      <c r="B685" s="604"/>
      <c r="C685" s="604"/>
      <c r="D685" s="604"/>
      <c r="E685" s="604"/>
      <c r="F685" s="604"/>
      <c r="G685" s="604"/>
      <c r="H685" s="604"/>
      <c r="I685" s="604"/>
      <c r="J685" s="604"/>
      <c r="K685" s="604"/>
      <c r="L685" s="604"/>
      <c r="M685" s="604"/>
    </row>
    <row r="686" spans="1:13" ht="18.75" x14ac:dyDescent="0.3">
      <c r="A686" s="604"/>
      <c r="B686" s="604"/>
      <c r="C686" s="604"/>
      <c r="D686" s="604"/>
      <c r="E686" s="604"/>
      <c r="F686" s="604"/>
      <c r="G686" s="604"/>
      <c r="H686" s="604"/>
      <c r="I686" s="604"/>
      <c r="J686" s="604"/>
      <c r="K686" s="604"/>
      <c r="L686" s="604"/>
      <c r="M686" s="604"/>
    </row>
    <row r="687" spans="1:13" ht="18.75" x14ac:dyDescent="0.3">
      <c r="A687" s="604"/>
      <c r="B687" s="604"/>
      <c r="C687" s="604"/>
      <c r="D687" s="604"/>
      <c r="E687" s="604"/>
      <c r="F687" s="604"/>
      <c r="G687" s="604"/>
      <c r="H687" s="604"/>
      <c r="I687" s="604"/>
      <c r="J687" s="604"/>
      <c r="K687" s="604"/>
      <c r="L687" s="604"/>
      <c r="M687" s="604"/>
    </row>
    <row r="688" spans="1:13" ht="18.75" x14ac:dyDescent="0.3">
      <c r="A688" s="604"/>
      <c r="B688" s="604"/>
      <c r="C688" s="604"/>
      <c r="D688" s="604"/>
      <c r="E688" s="604"/>
      <c r="F688" s="604"/>
      <c r="G688" s="604"/>
      <c r="H688" s="604"/>
      <c r="I688" s="604"/>
      <c r="J688" s="604"/>
      <c r="K688" s="604"/>
      <c r="L688" s="604"/>
      <c r="M688" s="604"/>
    </row>
    <row r="689" spans="1:13" ht="18.75" x14ac:dyDescent="0.3">
      <c r="A689" s="604"/>
      <c r="B689" s="604"/>
      <c r="C689" s="604"/>
      <c r="D689" s="604"/>
      <c r="E689" s="604"/>
      <c r="F689" s="604"/>
      <c r="G689" s="604"/>
      <c r="H689" s="604"/>
      <c r="I689" s="604"/>
      <c r="J689" s="604"/>
      <c r="K689" s="604"/>
      <c r="L689" s="604"/>
      <c r="M689" s="604"/>
    </row>
    <row r="690" spans="1:13" ht="18.75" x14ac:dyDescent="0.3">
      <c r="A690" s="604"/>
      <c r="B690" s="604"/>
      <c r="C690" s="604"/>
      <c r="D690" s="604"/>
      <c r="E690" s="604"/>
      <c r="F690" s="604"/>
      <c r="G690" s="604"/>
      <c r="H690" s="604"/>
      <c r="I690" s="604"/>
      <c r="J690" s="604"/>
      <c r="K690" s="604"/>
      <c r="L690" s="604"/>
      <c r="M690" s="604"/>
    </row>
    <row r="691" spans="1:13" ht="18.75" x14ac:dyDescent="0.3">
      <c r="A691" s="604"/>
      <c r="B691" s="604"/>
      <c r="C691" s="604"/>
      <c r="D691" s="604"/>
      <c r="E691" s="604"/>
      <c r="F691" s="604"/>
      <c r="G691" s="604"/>
      <c r="H691" s="604"/>
      <c r="I691" s="604"/>
      <c r="J691" s="604"/>
      <c r="K691" s="604"/>
      <c r="L691" s="604"/>
      <c r="M691" s="604"/>
    </row>
    <row r="692" spans="1:13" ht="18.75" x14ac:dyDescent="0.3">
      <c r="A692" s="604"/>
      <c r="B692" s="604"/>
      <c r="C692" s="604"/>
      <c r="D692" s="604"/>
      <c r="E692" s="604"/>
      <c r="F692" s="604"/>
      <c r="G692" s="604"/>
      <c r="H692" s="604"/>
      <c r="I692" s="604"/>
      <c r="J692" s="604"/>
      <c r="K692" s="604"/>
      <c r="L692" s="604"/>
      <c r="M692" s="604"/>
    </row>
    <row r="693" spans="1:13" ht="18.75" x14ac:dyDescent="0.3">
      <c r="A693" s="604"/>
      <c r="B693" s="604"/>
      <c r="C693" s="604"/>
      <c r="D693" s="604"/>
      <c r="E693" s="604"/>
      <c r="F693" s="604"/>
      <c r="G693" s="604"/>
      <c r="H693" s="604"/>
      <c r="I693" s="604"/>
      <c r="J693" s="604"/>
      <c r="K693" s="604"/>
      <c r="L693" s="604"/>
      <c r="M693" s="604"/>
    </row>
    <row r="694" spans="1:13" ht="18.75" x14ac:dyDescent="0.3">
      <c r="A694" s="604"/>
      <c r="B694" s="604"/>
      <c r="C694" s="604"/>
      <c r="D694" s="604"/>
      <c r="E694" s="604"/>
      <c r="F694" s="604"/>
      <c r="G694" s="604"/>
      <c r="H694" s="604"/>
      <c r="I694" s="604"/>
      <c r="J694" s="604"/>
      <c r="K694" s="604"/>
      <c r="L694" s="604"/>
      <c r="M694" s="604"/>
    </row>
    <row r="695" spans="1:13" ht="18.75" x14ac:dyDescent="0.3">
      <c r="A695" s="604"/>
      <c r="B695" s="604"/>
      <c r="C695" s="604"/>
      <c r="D695" s="604"/>
      <c r="E695" s="604"/>
      <c r="F695" s="604"/>
      <c r="G695" s="604"/>
      <c r="H695" s="604"/>
      <c r="I695" s="604"/>
      <c r="J695" s="604"/>
      <c r="K695" s="604"/>
      <c r="L695" s="604"/>
      <c r="M695" s="604"/>
    </row>
    <row r="696" spans="1:13" ht="18.75" x14ac:dyDescent="0.3">
      <c r="A696" s="604"/>
      <c r="B696" s="604"/>
      <c r="C696" s="604"/>
      <c r="D696" s="604"/>
      <c r="E696" s="604"/>
      <c r="F696" s="604"/>
      <c r="G696" s="604"/>
      <c r="H696" s="604"/>
      <c r="I696" s="604"/>
      <c r="J696" s="604"/>
      <c r="K696" s="604"/>
      <c r="L696" s="604"/>
      <c r="M696" s="604"/>
    </row>
    <row r="697" spans="1:13" ht="18.75" x14ac:dyDescent="0.3">
      <c r="A697" s="604"/>
      <c r="B697" s="604"/>
      <c r="C697" s="604"/>
      <c r="D697" s="604"/>
      <c r="E697" s="604"/>
      <c r="F697" s="604"/>
      <c r="G697" s="604"/>
      <c r="H697" s="604"/>
      <c r="I697" s="604"/>
      <c r="J697" s="604"/>
      <c r="K697" s="604"/>
      <c r="L697" s="604"/>
      <c r="M697" s="604"/>
    </row>
  </sheetData>
  <pageMargins left="0.25" right="0.25"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K142"/>
  <sheetViews>
    <sheetView zoomScale="70" zoomScaleNormal="70" workbookViewId="0">
      <pane xSplit="1" topLeftCell="B1" activePane="topRight" state="frozen"/>
      <selection activeCell="F69" sqref="F69"/>
      <selection pane="topRight" activeCell="C17" sqref="C17:K17"/>
    </sheetView>
  </sheetViews>
  <sheetFormatPr defaultRowHeight="18.75" x14ac:dyDescent="0.3"/>
  <cols>
    <col min="2" max="2" width="24.8984375" customWidth="1"/>
    <col min="3" max="3" width="18.59765625" customWidth="1"/>
    <col min="4" max="4" width="22.8984375" customWidth="1"/>
    <col min="5" max="5" width="22.5" customWidth="1"/>
    <col min="6" max="6" width="20" customWidth="1"/>
    <col min="7" max="7" width="24.296875" customWidth="1"/>
    <col min="8" max="8" width="23.8984375" customWidth="1"/>
    <col min="9" max="9" width="14.69921875" customWidth="1"/>
    <col min="10" max="10" width="20.5" customWidth="1"/>
    <col min="11" max="11" width="16.19921875" customWidth="1"/>
    <col min="22" max="22" width="12.5" customWidth="1"/>
  </cols>
  <sheetData>
    <row r="1" spans="1:11" x14ac:dyDescent="0.3">
      <c r="C1" s="678" t="s">
        <v>30</v>
      </c>
      <c r="D1" s="678"/>
      <c r="E1" s="678"/>
      <c r="F1" s="678"/>
      <c r="G1" s="678"/>
      <c r="H1" s="678"/>
      <c r="I1" s="678"/>
      <c r="J1" s="678"/>
      <c r="K1" s="678"/>
    </row>
    <row r="2" spans="1:11" s="2" customFormat="1" x14ac:dyDescent="0.3">
      <c r="A2" s="2" t="s">
        <v>304</v>
      </c>
      <c r="B2" s="198" t="s">
        <v>109</v>
      </c>
      <c r="C2" s="196" t="s">
        <v>1</v>
      </c>
      <c r="D2" s="196" t="s">
        <v>110</v>
      </c>
      <c r="E2" s="197" t="s">
        <v>111</v>
      </c>
      <c r="F2" s="196" t="s">
        <v>112</v>
      </c>
      <c r="G2" s="196" t="s">
        <v>113</v>
      </c>
      <c r="H2" s="197" t="s">
        <v>114</v>
      </c>
      <c r="I2" s="199" t="s">
        <v>115</v>
      </c>
      <c r="J2" s="196" t="s">
        <v>116</v>
      </c>
      <c r="K2" s="230" t="s">
        <v>3</v>
      </c>
    </row>
    <row r="3" spans="1:11" x14ac:dyDescent="0.3">
      <c r="A3">
        <v>0</v>
      </c>
      <c r="B3" s="164" t="s">
        <v>128</v>
      </c>
      <c r="C3" s="546">
        <v>165451</v>
      </c>
      <c r="D3" s="546">
        <v>316747</v>
      </c>
      <c r="E3" s="544">
        <v>0.52</v>
      </c>
      <c r="F3" s="552">
        <v>210910</v>
      </c>
      <c r="G3" s="556">
        <v>265936</v>
      </c>
      <c r="H3" s="550">
        <v>0.79</v>
      </c>
      <c r="I3" s="559">
        <v>3022502645</v>
      </c>
      <c r="J3" s="556">
        <v>209212</v>
      </c>
      <c r="K3" s="559">
        <v>14447</v>
      </c>
    </row>
    <row r="4" spans="1:11" x14ac:dyDescent="0.3">
      <c r="A4">
        <v>1</v>
      </c>
      <c r="B4" s="164" t="s">
        <v>102</v>
      </c>
      <c r="C4" s="545">
        <v>8023</v>
      </c>
      <c r="D4" s="545">
        <v>16056</v>
      </c>
      <c r="E4" s="543">
        <v>0.5</v>
      </c>
      <c r="F4" s="551">
        <v>7707</v>
      </c>
      <c r="G4" s="551">
        <v>9824</v>
      </c>
      <c r="H4" s="549">
        <v>0.78</v>
      </c>
      <c r="I4" s="558">
        <v>105237427</v>
      </c>
      <c r="J4" s="555">
        <v>7653</v>
      </c>
      <c r="K4" s="558">
        <v>13751</v>
      </c>
    </row>
    <row r="5" spans="1:11" x14ac:dyDescent="0.3">
      <c r="A5">
        <v>2</v>
      </c>
      <c r="B5" s="164" t="s">
        <v>121</v>
      </c>
      <c r="C5" s="545">
        <v>13248</v>
      </c>
      <c r="D5" s="545">
        <v>26654</v>
      </c>
      <c r="E5" s="543">
        <v>0.5</v>
      </c>
      <c r="F5" s="551">
        <v>13100</v>
      </c>
      <c r="G5" s="551">
        <v>16935</v>
      </c>
      <c r="H5" s="549">
        <v>0.77</v>
      </c>
      <c r="I5" s="558">
        <v>170461990</v>
      </c>
      <c r="J5" s="555">
        <v>12983</v>
      </c>
      <c r="K5" s="558">
        <v>13130</v>
      </c>
    </row>
    <row r="6" spans="1:11" x14ac:dyDescent="0.3">
      <c r="A6">
        <v>3</v>
      </c>
      <c r="B6" s="164" t="s">
        <v>120</v>
      </c>
      <c r="C6" s="545">
        <v>9229</v>
      </c>
      <c r="D6" s="545">
        <v>16846</v>
      </c>
      <c r="E6" s="543">
        <v>0.55000000000000004</v>
      </c>
      <c r="F6" s="551">
        <v>8866</v>
      </c>
      <c r="G6" s="551">
        <v>11172</v>
      </c>
      <c r="H6" s="549">
        <v>0.79</v>
      </c>
      <c r="I6" s="558">
        <v>125998348</v>
      </c>
      <c r="J6" s="555">
        <v>8788</v>
      </c>
      <c r="K6" s="558">
        <v>14338</v>
      </c>
    </row>
    <row r="7" spans="1:11" x14ac:dyDescent="0.3">
      <c r="A7">
        <v>4</v>
      </c>
      <c r="B7" s="164" t="s">
        <v>123</v>
      </c>
      <c r="C7" s="545">
        <v>16759</v>
      </c>
      <c r="D7" s="545">
        <v>34289</v>
      </c>
      <c r="E7" s="543">
        <v>0.49</v>
      </c>
      <c r="F7" s="551">
        <v>16047</v>
      </c>
      <c r="G7" s="551">
        <v>20091</v>
      </c>
      <c r="H7" s="549">
        <v>0.8</v>
      </c>
      <c r="I7" s="558">
        <v>257540875</v>
      </c>
      <c r="J7" s="555">
        <v>15902</v>
      </c>
      <c r="K7" s="558">
        <v>16196</v>
      </c>
    </row>
    <row r="8" spans="1:11" x14ac:dyDescent="0.3">
      <c r="A8">
        <v>5</v>
      </c>
      <c r="B8" s="164" t="s">
        <v>122</v>
      </c>
      <c r="C8" s="545">
        <v>32031</v>
      </c>
      <c r="D8" s="545">
        <v>67346</v>
      </c>
      <c r="E8" s="543">
        <v>0.48</v>
      </c>
      <c r="F8" s="551">
        <v>29584</v>
      </c>
      <c r="G8" s="551">
        <v>36854</v>
      </c>
      <c r="H8" s="549">
        <v>0.8</v>
      </c>
      <c r="I8" s="558">
        <v>529894783</v>
      </c>
      <c r="J8" s="555">
        <v>29312</v>
      </c>
      <c r="K8" s="558">
        <v>18078</v>
      </c>
    </row>
    <row r="9" spans="1:11" x14ac:dyDescent="0.3">
      <c r="A9">
        <v>6</v>
      </c>
      <c r="B9" s="164" t="s">
        <v>127</v>
      </c>
      <c r="C9" s="542">
        <v>14269</v>
      </c>
      <c r="D9" s="542">
        <v>32188</v>
      </c>
      <c r="E9" s="543">
        <v>0.44</v>
      </c>
      <c r="F9" s="553">
        <v>14398</v>
      </c>
      <c r="G9" s="553">
        <v>18697</v>
      </c>
      <c r="H9" s="554">
        <v>0.77</v>
      </c>
      <c r="I9" s="560">
        <v>203953052</v>
      </c>
      <c r="J9" s="557">
        <v>14263</v>
      </c>
      <c r="K9" s="560">
        <v>14299</v>
      </c>
    </row>
    <row r="10" spans="1:11" x14ac:dyDescent="0.3">
      <c r="A10">
        <v>7</v>
      </c>
      <c r="B10" s="164" t="s">
        <v>125</v>
      </c>
      <c r="C10" s="545">
        <v>11465</v>
      </c>
      <c r="D10" s="545">
        <v>22867</v>
      </c>
      <c r="E10" s="543">
        <v>0.5</v>
      </c>
      <c r="F10" s="551">
        <v>11789</v>
      </c>
      <c r="G10" s="551">
        <v>14673</v>
      </c>
      <c r="H10" s="549">
        <v>0.8</v>
      </c>
      <c r="I10" s="558">
        <v>165379372</v>
      </c>
      <c r="J10" s="555">
        <v>11688</v>
      </c>
      <c r="K10" s="558">
        <v>14150</v>
      </c>
    </row>
    <row r="11" spans="1:11" x14ac:dyDescent="0.3">
      <c r="A11">
        <v>8</v>
      </c>
      <c r="B11" s="164" t="s">
        <v>119</v>
      </c>
      <c r="C11" s="545">
        <v>18837</v>
      </c>
      <c r="D11" s="545">
        <v>28530</v>
      </c>
      <c r="E11" s="543">
        <v>0.66</v>
      </c>
      <c r="F11" s="551">
        <v>17577</v>
      </c>
      <c r="G11" s="551">
        <v>22688</v>
      </c>
      <c r="H11" s="549">
        <v>0.77</v>
      </c>
      <c r="I11" s="558">
        <v>225756503</v>
      </c>
      <c r="J11" s="555">
        <v>17434</v>
      </c>
      <c r="K11" s="558">
        <v>12949</v>
      </c>
    </row>
    <row r="12" spans="1:11" x14ac:dyDescent="0.3">
      <c r="A12">
        <v>9</v>
      </c>
      <c r="B12" s="164" t="s">
        <v>124</v>
      </c>
      <c r="C12" s="545">
        <v>15769</v>
      </c>
      <c r="D12" s="545">
        <v>25790</v>
      </c>
      <c r="E12" s="543">
        <v>0.61</v>
      </c>
      <c r="F12" s="551">
        <v>15291</v>
      </c>
      <c r="G12" s="551">
        <v>19896</v>
      </c>
      <c r="H12" s="549">
        <v>0.77</v>
      </c>
      <c r="I12" s="558">
        <v>174089416</v>
      </c>
      <c r="J12" s="555">
        <v>15143</v>
      </c>
      <c r="K12" s="558">
        <v>11496</v>
      </c>
    </row>
    <row r="13" spans="1:11" x14ac:dyDescent="0.3">
      <c r="A13">
        <v>10</v>
      </c>
      <c r="B13" s="164" t="s">
        <v>118</v>
      </c>
      <c r="C13" s="545">
        <v>5629</v>
      </c>
      <c r="D13" s="545">
        <v>10150</v>
      </c>
      <c r="E13" s="543">
        <v>0.55000000000000004</v>
      </c>
      <c r="F13" s="551">
        <v>6070</v>
      </c>
      <c r="G13" s="551">
        <v>7733</v>
      </c>
      <c r="H13" s="549">
        <v>0.78</v>
      </c>
      <c r="I13" s="558">
        <v>75434923</v>
      </c>
      <c r="J13" s="555">
        <v>6032</v>
      </c>
      <c r="K13" s="558">
        <v>12506</v>
      </c>
    </row>
    <row r="14" spans="1:11" x14ac:dyDescent="0.3">
      <c r="A14">
        <v>11</v>
      </c>
      <c r="B14" s="164" t="s">
        <v>117</v>
      </c>
      <c r="C14" s="545">
        <v>9564</v>
      </c>
      <c r="D14" s="545">
        <v>14946</v>
      </c>
      <c r="E14" s="543">
        <v>0.64</v>
      </c>
      <c r="F14" s="551">
        <v>9886</v>
      </c>
      <c r="G14" s="551">
        <v>12506</v>
      </c>
      <c r="H14" s="549">
        <v>0.79</v>
      </c>
      <c r="I14" s="558">
        <v>136310388</v>
      </c>
      <c r="J14" s="555">
        <v>9804</v>
      </c>
      <c r="K14" s="558">
        <v>13904</v>
      </c>
    </row>
    <row r="15" spans="1:11" x14ac:dyDescent="0.3">
      <c r="A15">
        <v>12</v>
      </c>
      <c r="B15" s="164" t="s">
        <v>126</v>
      </c>
      <c r="C15" s="547">
        <v>10599</v>
      </c>
      <c r="D15" s="547">
        <v>21020</v>
      </c>
      <c r="E15" s="548">
        <v>0.5</v>
      </c>
      <c r="F15" s="553">
        <v>11573</v>
      </c>
      <c r="G15" s="553">
        <v>14676</v>
      </c>
      <c r="H15" s="554">
        <v>0.79</v>
      </c>
      <c r="I15" s="560">
        <v>143727406</v>
      </c>
      <c r="J15" s="557">
        <v>11458</v>
      </c>
      <c r="K15" s="560">
        <v>12544</v>
      </c>
    </row>
    <row r="16" spans="1:11" x14ac:dyDescent="0.3">
      <c r="B16" s="194" t="s">
        <v>195</v>
      </c>
      <c r="C16" s="396">
        <v>0.52</v>
      </c>
      <c r="D16" s="195" t="s">
        <v>196</v>
      </c>
      <c r="E16" s="396">
        <v>0.76600000000000001</v>
      </c>
      <c r="F16" s="195" t="s">
        <v>197</v>
      </c>
      <c r="G16" s="200">
        <v>13500</v>
      </c>
      <c r="H16" s="192"/>
      <c r="I16" s="193"/>
      <c r="J16" s="191"/>
      <c r="K16" s="193"/>
    </row>
    <row r="17" spans="1:37" x14ac:dyDescent="0.3">
      <c r="C17" s="679" t="s">
        <v>162</v>
      </c>
      <c r="D17" s="679"/>
      <c r="E17" s="679"/>
      <c r="F17" s="679"/>
      <c r="G17" s="679"/>
      <c r="H17" s="679"/>
      <c r="I17" s="679"/>
      <c r="J17" s="679"/>
      <c r="K17" s="679"/>
    </row>
    <row r="18" spans="1:37" s="2" customFormat="1" ht="93.75" x14ac:dyDescent="0.3">
      <c r="A18" s="490"/>
      <c r="B18" s="196" t="s">
        <v>163</v>
      </c>
      <c r="C18" s="196" t="s">
        <v>164</v>
      </c>
      <c r="D18" s="197" t="s">
        <v>165</v>
      </c>
      <c r="E18" s="197" t="s">
        <v>198</v>
      </c>
      <c r="F18" s="196" t="s">
        <v>203</v>
      </c>
      <c r="G18" s="196" t="s">
        <v>204</v>
      </c>
      <c r="H18" s="197" t="s">
        <v>205</v>
      </c>
      <c r="I18" s="197" t="s">
        <v>206</v>
      </c>
      <c r="J18" s="196" t="s">
        <v>211</v>
      </c>
      <c r="K18" s="196" t="s">
        <v>212</v>
      </c>
      <c r="L18" s="197" t="s">
        <v>213</v>
      </c>
      <c r="M18" s="197" t="s">
        <v>214</v>
      </c>
      <c r="N18" s="196" t="s">
        <v>166</v>
      </c>
      <c r="O18" s="196" t="s">
        <v>167</v>
      </c>
      <c r="P18" s="197" t="s">
        <v>168</v>
      </c>
      <c r="Q18" s="197" t="s">
        <v>199</v>
      </c>
      <c r="R18" s="196" t="s">
        <v>207</v>
      </c>
      <c r="S18" s="196" t="s">
        <v>208</v>
      </c>
      <c r="T18" s="197" t="s">
        <v>209</v>
      </c>
      <c r="U18" s="197" t="s">
        <v>210</v>
      </c>
      <c r="V18" s="196" t="s">
        <v>215</v>
      </c>
      <c r="W18" s="196" t="s">
        <v>216</v>
      </c>
      <c r="X18" s="197" t="s">
        <v>217</v>
      </c>
      <c r="Y18" s="197" t="s">
        <v>218</v>
      </c>
      <c r="Z18" s="491" t="s">
        <v>169</v>
      </c>
      <c r="AA18" s="491" t="s">
        <v>170</v>
      </c>
      <c r="AB18" s="491" t="s">
        <v>171</v>
      </c>
      <c r="AC18" s="491" t="s">
        <v>200</v>
      </c>
      <c r="AD18" s="492" t="s">
        <v>172</v>
      </c>
      <c r="AE18" s="492" t="s">
        <v>173</v>
      </c>
      <c r="AF18" s="492" t="s">
        <v>174</v>
      </c>
      <c r="AG18" s="492" t="s">
        <v>201</v>
      </c>
      <c r="AH18" s="492" t="s">
        <v>175</v>
      </c>
      <c r="AI18" s="492" t="s">
        <v>176</v>
      </c>
      <c r="AJ18" s="492" t="s">
        <v>177</v>
      </c>
      <c r="AK18" s="490" t="s">
        <v>202</v>
      </c>
    </row>
    <row r="19" spans="1:37" x14ac:dyDescent="0.3">
      <c r="A19" s="162">
        <v>0</v>
      </c>
      <c r="B19" s="204">
        <v>1986</v>
      </c>
      <c r="C19" s="204">
        <v>2604</v>
      </c>
      <c r="D19" s="205">
        <v>0.76267281105990781</v>
      </c>
      <c r="E19" s="493">
        <v>0.752</v>
      </c>
      <c r="F19" s="204">
        <v>2119</v>
      </c>
      <c r="G19" s="204">
        <v>2493</v>
      </c>
      <c r="H19" s="205">
        <v>0.84997994384275977</v>
      </c>
      <c r="I19" s="493">
        <v>0.81</v>
      </c>
      <c r="J19" s="206">
        <v>28153971</v>
      </c>
      <c r="K19" s="204">
        <v>2106</v>
      </c>
      <c r="L19" s="206">
        <v>13368.457264957266</v>
      </c>
      <c r="M19" s="494">
        <v>9456</v>
      </c>
      <c r="N19" s="204">
        <v>2831</v>
      </c>
      <c r="O19" s="204">
        <v>3457</v>
      </c>
      <c r="P19" s="205">
        <v>0.81891813711310379</v>
      </c>
      <c r="Q19" s="493">
        <v>0.73599999999999999</v>
      </c>
      <c r="R19" s="204">
        <v>2506</v>
      </c>
      <c r="S19" s="204">
        <v>2841</v>
      </c>
      <c r="T19" s="205">
        <v>0.88208377331925381</v>
      </c>
      <c r="U19" s="493">
        <v>0.83899999999999997</v>
      </c>
      <c r="V19" s="206">
        <v>48755961</v>
      </c>
      <c r="W19" s="204">
        <v>2483</v>
      </c>
      <c r="X19" s="206">
        <v>19635.91</v>
      </c>
      <c r="Y19" s="494">
        <v>14043</v>
      </c>
      <c r="Z19" s="204">
        <v>1180</v>
      </c>
      <c r="AA19" s="204">
        <v>1535</v>
      </c>
      <c r="AB19" s="205">
        <v>0.76872964169381108</v>
      </c>
      <c r="AC19" s="493">
        <v>0.753</v>
      </c>
      <c r="AD19" s="207">
        <v>400</v>
      </c>
      <c r="AE19" s="207">
        <v>753</v>
      </c>
      <c r="AF19" s="205">
        <v>0.53120849933598935</v>
      </c>
      <c r="AG19" s="493">
        <v>0.44</v>
      </c>
      <c r="AH19" s="204">
        <v>1192</v>
      </c>
      <c r="AI19" s="204">
        <v>1799</v>
      </c>
      <c r="AJ19" s="205">
        <v>0.66259032795997774</v>
      </c>
      <c r="AK19" s="493">
        <v>0.53900000000000003</v>
      </c>
    </row>
    <row r="20" spans="1:37" x14ac:dyDescent="0.3">
      <c r="A20" s="162">
        <v>1</v>
      </c>
      <c r="B20" s="207">
        <v>128</v>
      </c>
      <c r="C20" s="207">
        <v>162</v>
      </c>
      <c r="D20" s="205">
        <v>0.79012345679012341</v>
      </c>
      <c r="E20" s="205">
        <v>0.77500000000000002</v>
      </c>
      <c r="F20" s="207">
        <v>142</v>
      </c>
      <c r="G20" s="207">
        <v>170</v>
      </c>
      <c r="H20" s="205">
        <v>0.83529411764705885</v>
      </c>
      <c r="I20" s="205">
        <v>0.82</v>
      </c>
      <c r="J20" s="206">
        <v>1949454</v>
      </c>
      <c r="K20" s="207">
        <v>137</v>
      </c>
      <c r="L20" s="206">
        <v>14229.591240875912</v>
      </c>
      <c r="M20" s="206">
        <v>9721</v>
      </c>
      <c r="N20" s="207">
        <v>191</v>
      </c>
      <c r="O20" s="207">
        <v>238</v>
      </c>
      <c r="P20" s="205">
        <v>0.80252100840336138</v>
      </c>
      <c r="Q20" s="493">
        <v>0.77400000000000002</v>
      </c>
      <c r="R20" s="207">
        <v>144</v>
      </c>
      <c r="S20" s="207">
        <v>167</v>
      </c>
      <c r="T20" s="205">
        <v>0.86227544910179643</v>
      </c>
      <c r="U20" s="493">
        <v>0.84199999999999997</v>
      </c>
      <c r="V20" s="206">
        <v>2305371</v>
      </c>
      <c r="W20" s="207">
        <v>134</v>
      </c>
      <c r="X20" s="206">
        <v>17204.261194029852</v>
      </c>
      <c r="Y20" s="494">
        <v>14926</v>
      </c>
      <c r="Z20" s="207">
        <v>42</v>
      </c>
      <c r="AA20" s="207">
        <v>58</v>
      </c>
      <c r="AB20" s="205">
        <v>0.72413793103448276</v>
      </c>
      <c r="AC20" s="493">
        <v>0.66500000000000004</v>
      </c>
      <c r="AD20" s="207">
        <v>12</v>
      </c>
      <c r="AE20" s="207">
        <v>20</v>
      </c>
      <c r="AF20" s="205">
        <v>0.6</v>
      </c>
      <c r="AG20" s="493">
        <v>0.34599999999999997</v>
      </c>
      <c r="AH20" s="207">
        <v>51</v>
      </c>
      <c r="AI20" s="207">
        <v>71</v>
      </c>
      <c r="AJ20" s="205">
        <v>0.71830985915492962</v>
      </c>
      <c r="AK20" s="493">
        <v>0.58799999999999997</v>
      </c>
    </row>
    <row r="21" spans="1:37" x14ac:dyDescent="0.3">
      <c r="A21" s="162">
        <v>2</v>
      </c>
      <c r="B21" s="207">
        <v>263</v>
      </c>
      <c r="C21" s="207">
        <v>328</v>
      </c>
      <c r="D21" s="205">
        <v>0.80182926829268297</v>
      </c>
      <c r="E21" s="493">
        <v>0.754</v>
      </c>
      <c r="F21" s="207">
        <v>247</v>
      </c>
      <c r="G21" s="207">
        <v>294</v>
      </c>
      <c r="H21" s="205">
        <v>0.84013605442176875</v>
      </c>
      <c r="I21" s="493">
        <v>0.81299999999999994</v>
      </c>
      <c r="J21" s="206">
        <v>3132596</v>
      </c>
      <c r="K21" s="207">
        <v>245</v>
      </c>
      <c r="L21" s="206">
        <v>12786.10612244898</v>
      </c>
      <c r="M21" s="494">
        <v>9735</v>
      </c>
      <c r="N21" s="207">
        <v>224</v>
      </c>
      <c r="O21" s="207">
        <v>279</v>
      </c>
      <c r="P21" s="205">
        <v>0.80286738351254483</v>
      </c>
      <c r="Q21" s="493">
        <v>0.72199999999999998</v>
      </c>
      <c r="R21" s="207">
        <v>259</v>
      </c>
      <c r="S21" s="207">
        <v>288</v>
      </c>
      <c r="T21" s="205">
        <v>0.89930555555555558</v>
      </c>
      <c r="U21" s="493">
        <v>0.81899999999999995</v>
      </c>
      <c r="V21" s="206">
        <v>4555126</v>
      </c>
      <c r="W21" s="207">
        <v>257</v>
      </c>
      <c r="X21" s="206">
        <v>17724.225680933851</v>
      </c>
      <c r="Y21" s="494">
        <v>13165</v>
      </c>
      <c r="Z21" s="207">
        <v>71</v>
      </c>
      <c r="AA21" s="207">
        <v>93</v>
      </c>
      <c r="AB21" s="205">
        <v>0.76344086021505375</v>
      </c>
      <c r="AC21" s="493">
        <v>0.72099999999999997</v>
      </c>
      <c r="AD21" s="207">
        <v>28</v>
      </c>
      <c r="AE21" s="207">
        <v>38</v>
      </c>
      <c r="AF21" s="205">
        <v>0.73684210526315785</v>
      </c>
      <c r="AG21" s="493">
        <v>0.496</v>
      </c>
      <c r="AH21" s="207">
        <v>107</v>
      </c>
      <c r="AI21" s="207">
        <v>120</v>
      </c>
      <c r="AJ21" s="205">
        <v>0.89166666666666672</v>
      </c>
      <c r="AK21" s="493">
        <v>0.51500000000000001</v>
      </c>
    </row>
    <row r="22" spans="1:37" x14ac:dyDescent="0.3">
      <c r="A22" s="162">
        <v>3</v>
      </c>
      <c r="B22" s="207">
        <v>79</v>
      </c>
      <c r="C22" s="207">
        <v>92</v>
      </c>
      <c r="D22" s="205">
        <v>0.85869565217391308</v>
      </c>
      <c r="E22" s="493">
        <v>0.73699999999999999</v>
      </c>
      <c r="F22" s="207">
        <v>99</v>
      </c>
      <c r="G22" s="207">
        <v>112</v>
      </c>
      <c r="H22" s="205">
        <v>0.8839285714285714</v>
      </c>
      <c r="I22" s="493">
        <v>0.83699999999999997</v>
      </c>
      <c r="J22" s="206">
        <v>1505965</v>
      </c>
      <c r="K22" s="207">
        <v>99</v>
      </c>
      <c r="L22" s="206">
        <v>15211.767676767677</v>
      </c>
      <c r="M22" s="494">
        <v>10267</v>
      </c>
      <c r="N22" s="207">
        <v>151</v>
      </c>
      <c r="O22" s="207">
        <v>187</v>
      </c>
      <c r="P22" s="205">
        <v>0.80748663101604279</v>
      </c>
      <c r="Q22" s="493">
        <v>0.72</v>
      </c>
      <c r="R22" s="207">
        <v>132</v>
      </c>
      <c r="S22" s="207">
        <v>150</v>
      </c>
      <c r="T22" s="205">
        <v>0.88</v>
      </c>
      <c r="U22" s="493">
        <v>0.84199999999999997</v>
      </c>
      <c r="V22" s="206">
        <v>2463804</v>
      </c>
      <c r="W22" s="207">
        <v>132</v>
      </c>
      <c r="X22" s="206">
        <v>18665.18181818182</v>
      </c>
      <c r="Y22" s="494">
        <v>16298</v>
      </c>
      <c r="Z22" s="207">
        <v>60</v>
      </c>
      <c r="AA22" s="207">
        <v>71</v>
      </c>
      <c r="AB22" s="205">
        <v>0.84507042253521125</v>
      </c>
      <c r="AC22" s="493">
        <v>0.75600000000000001</v>
      </c>
      <c r="AD22" s="207">
        <v>13</v>
      </c>
      <c r="AE22" s="207">
        <v>24</v>
      </c>
      <c r="AF22" s="205">
        <v>0.54166666666666663</v>
      </c>
      <c r="AG22" s="493">
        <v>0.33400000000000002</v>
      </c>
      <c r="AH22" s="207">
        <v>67</v>
      </c>
      <c r="AI22" s="207">
        <v>81</v>
      </c>
      <c r="AJ22" s="205">
        <v>0.8271604938271605</v>
      </c>
      <c r="AK22" s="493">
        <v>0.55000000000000004</v>
      </c>
    </row>
    <row r="23" spans="1:37" x14ac:dyDescent="0.3">
      <c r="A23" s="162">
        <v>4</v>
      </c>
      <c r="B23" s="207">
        <v>106</v>
      </c>
      <c r="C23" s="207">
        <v>138</v>
      </c>
      <c r="D23" s="205">
        <v>0.76811594202898548</v>
      </c>
      <c r="E23" s="493">
        <v>0.70699999999999996</v>
      </c>
      <c r="F23" s="207">
        <v>64</v>
      </c>
      <c r="G23" s="207">
        <v>73</v>
      </c>
      <c r="H23" s="205">
        <v>0.87671232876712324</v>
      </c>
      <c r="I23" s="493">
        <v>0.80900000000000005</v>
      </c>
      <c r="J23" s="206">
        <v>837050</v>
      </c>
      <c r="K23" s="207">
        <v>64</v>
      </c>
      <c r="L23" s="206">
        <v>13078.90625</v>
      </c>
      <c r="M23" s="494">
        <v>9616</v>
      </c>
      <c r="N23" s="207">
        <v>296</v>
      </c>
      <c r="O23" s="207">
        <v>329</v>
      </c>
      <c r="P23" s="205">
        <v>0.89969604863221886</v>
      </c>
      <c r="Q23" s="495">
        <v>0.71099999999999997</v>
      </c>
      <c r="R23" s="207">
        <v>174</v>
      </c>
      <c r="S23" s="207">
        <v>186</v>
      </c>
      <c r="T23" s="205">
        <v>0.93548387096774188</v>
      </c>
      <c r="U23" s="493">
        <v>0.83499999999999996</v>
      </c>
      <c r="V23" s="206">
        <v>4330699</v>
      </c>
      <c r="W23" s="207">
        <v>174</v>
      </c>
      <c r="X23" s="206">
        <v>24889.07471264368</v>
      </c>
      <c r="Y23" s="494">
        <v>15913</v>
      </c>
      <c r="Z23" s="207">
        <v>115</v>
      </c>
      <c r="AA23" s="207">
        <v>193</v>
      </c>
      <c r="AB23" s="205">
        <v>0.59585492227979275</v>
      </c>
      <c r="AC23" s="493">
        <v>0.77700000000000002</v>
      </c>
      <c r="AD23" s="207">
        <v>24</v>
      </c>
      <c r="AE23" s="207">
        <v>43</v>
      </c>
      <c r="AF23" s="205">
        <v>0.55813953488372092</v>
      </c>
      <c r="AG23" s="493">
        <v>0.47599999999999998</v>
      </c>
      <c r="AH23" s="207">
        <v>76</v>
      </c>
      <c r="AI23" s="207">
        <v>183</v>
      </c>
      <c r="AJ23" s="205">
        <v>0.41530054644808745</v>
      </c>
      <c r="AK23" s="493">
        <v>0.47099999999999997</v>
      </c>
    </row>
    <row r="24" spans="1:37" x14ac:dyDescent="0.3">
      <c r="A24" s="162">
        <v>5</v>
      </c>
      <c r="B24" s="207">
        <v>263</v>
      </c>
      <c r="C24" s="207">
        <v>348</v>
      </c>
      <c r="D24" s="205">
        <v>0.75574712643678166</v>
      </c>
      <c r="E24" s="493">
        <v>0.71399999999999997</v>
      </c>
      <c r="F24" s="207">
        <v>293</v>
      </c>
      <c r="G24" s="207">
        <v>323</v>
      </c>
      <c r="H24" s="205">
        <v>0.90712074303405577</v>
      </c>
      <c r="I24" s="493">
        <v>0.81899999999999995</v>
      </c>
      <c r="J24" s="206">
        <v>4262077</v>
      </c>
      <c r="K24" s="207">
        <v>293</v>
      </c>
      <c r="L24" s="206">
        <v>14546.337883959044</v>
      </c>
      <c r="M24" s="494">
        <v>10744</v>
      </c>
      <c r="N24" s="207">
        <v>588</v>
      </c>
      <c r="O24" s="207">
        <v>731</v>
      </c>
      <c r="P24" s="205">
        <v>0.80437756497948021</v>
      </c>
      <c r="Q24" s="493">
        <v>0.67600000000000005</v>
      </c>
      <c r="R24" s="207">
        <v>458</v>
      </c>
      <c r="S24" s="207">
        <v>517</v>
      </c>
      <c r="T24" s="205">
        <v>0.88588007736943908</v>
      </c>
      <c r="U24" s="493">
        <v>0.83699999999999997</v>
      </c>
      <c r="V24" s="206">
        <v>11606123</v>
      </c>
      <c r="W24" s="207">
        <v>458</v>
      </c>
      <c r="X24" s="206">
        <v>25340.879912663757</v>
      </c>
      <c r="Y24" s="494">
        <v>16234</v>
      </c>
      <c r="Z24" s="207">
        <v>216</v>
      </c>
      <c r="AA24" s="207">
        <v>266</v>
      </c>
      <c r="AB24" s="205">
        <v>0.81203007518796988</v>
      </c>
      <c r="AC24" s="493">
        <v>0.75800000000000001</v>
      </c>
      <c r="AD24" s="207">
        <v>68</v>
      </c>
      <c r="AE24" s="207">
        <v>163</v>
      </c>
      <c r="AF24" s="205">
        <v>0.41717791411042943</v>
      </c>
      <c r="AG24" s="493">
        <v>0.40200000000000002</v>
      </c>
      <c r="AH24" s="207">
        <v>198</v>
      </c>
      <c r="AI24" s="207">
        <v>268</v>
      </c>
      <c r="AJ24" s="205">
        <v>0.73880597014925375</v>
      </c>
      <c r="AK24" s="493">
        <v>0.55000000000000004</v>
      </c>
    </row>
    <row r="25" spans="1:37" x14ac:dyDescent="0.3">
      <c r="A25" s="162">
        <v>6</v>
      </c>
      <c r="B25" s="207">
        <v>100</v>
      </c>
      <c r="C25" s="207">
        <v>122</v>
      </c>
      <c r="D25" s="205">
        <v>0.81967213114754101</v>
      </c>
      <c r="E25" s="493">
        <v>0.73199999999999998</v>
      </c>
      <c r="F25" s="207">
        <v>127</v>
      </c>
      <c r="G25" s="207">
        <v>154</v>
      </c>
      <c r="H25" s="205">
        <v>0.82467532467532467</v>
      </c>
      <c r="I25" s="493">
        <v>0.80900000000000005</v>
      </c>
      <c r="J25" s="206">
        <v>1797487</v>
      </c>
      <c r="K25" s="207">
        <v>127</v>
      </c>
      <c r="L25" s="206">
        <v>14153.44094488189</v>
      </c>
      <c r="M25" s="494">
        <v>9461</v>
      </c>
      <c r="N25" s="207">
        <v>177</v>
      </c>
      <c r="O25" s="207">
        <v>200</v>
      </c>
      <c r="P25" s="205">
        <v>0.88500000000000001</v>
      </c>
      <c r="Q25" s="205">
        <v>0.74399999999999999</v>
      </c>
      <c r="R25" s="207">
        <v>166</v>
      </c>
      <c r="S25" s="207">
        <v>183</v>
      </c>
      <c r="T25" s="205">
        <v>0.90710382513661203</v>
      </c>
      <c r="U25" s="493">
        <v>0.84099999999999997</v>
      </c>
      <c r="V25" s="206">
        <v>2885979</v>
      </c>
      <c r="W25" s="207">
        <v>166</v>
      </c>
      <c r="X25" s="206">
        <v>17385.415662650601</v>
      </c>
      <c r="Y25" s="494">
        <v>13763</v>
      </c>
      <c r="Z25" s="207">
        <v>103</v>
      </c>
      <c r="AA25" s="207">
        <v>141</v>
      </c>
      <c r="AB25" s="205">
        <v>0.73049645390070927</v>
      </c>
      <c r="AC25" s="493">
        <v>0.755</v>
      </c>
      <c r="AD25" s="207">
        <v>29</v>
      </c>
      <c r="AE25" s="207">
        <v>85</v>
      </c>
      <c r="AF25" s="205">
        <v>0.3411764705882353</v>
      </c>
      <c r="AG25" s="493">
        <v>0.438</v>
      </c>
      <c r="AH25" s="207">
        <v>122</v>
      </c>
      <c r="AI25" s="207">
        <v>189</v>
      </c>
      <c r="AJ25" s="205">
        <v>0.64550264550264547</v>
      </c>
      <c r="AK25" s="493">
        <v>0.55900000000000005</v>
      </c>
    </row>
    <row r="26" spans="1:37" x14ac:dyDescent="0.3">
      <c r="A26" s="162">
        <v>7</v>
      </c>
      <c r="B26" s="207">
        <v>457</v>
      </c>
      <c r="C26" s="207">
        <v>681</v>
      </c>
      <c r="D26" s="205">
        <v>0.671071953010279</v>
      </c>
      <c r="E26" s="493">
        <v>0.67900000000000005</v>
      </c>
      <c r="F26" s="207">
        <v>560</v>
      </c>
      <c r="G26" s="207">
        <v>682</v>
      </c>
      <c r="H26" s="205">
        <v>0.82111436950146632</v>
      </c>
      <c r="I26" s="493">
        <v>0.755</v>
      </c>
      <c r="J26" s="206">
        <v>7124892</v>
      </c>
      <c r="K26" s="207">
        <v>560</v>
      </c>
      <c r="L26" s="206">
        <v>12723.021428571428</v>
      </c>
      <c r="M26" s="494">
        <v>6336</v>
      </c>
      <c r="N26" s="207">
        <v>436</v>
      </c>
      <c r="O26" s="207">
        <v>583</v>
      </c>
      <c r="P26" s="205">
        <v>0.74785591766723847</v>
      </c>
      <c r="Q26" s="493">
        <v>0.70299999999999996</v>
      </c>
      <c r="R26" s="207">
        <v>433</v>
      </c>
      <c r="S26" s="207">
        <v>503</v>
      </c>
      <c r="T26" s="205">
        <v>0.86083499005964215</v>
      </c>
      <c r="U26" s="493">
        <v>0.82099999999999995</v>
      </c>
      <c r="V26" s="206">
        <v>7565707</v>
      </c>
      <c r="W26" s="207">
        <v>432</v>
      </c>
      <c r="X26" s="206">
        <v>17513.21064814815</v>
      </c>
      <c r="Y26" s="494">
        <v>8730</v>
      </c>
      <c r="Z26" s="207">
        <v>116</v>
      </c>
      <c r="AA26" s="207">
        <v>132</v>
      </c>
      <c r="AB26" s="205">
        <v>0.87878787878787878</v>
      </c>
      <c r="AC26" s="493">
        <v>0.80600000000000005</v>
      </c>
      <c r="AD26" s="207">
        <v>18</v>
      </c>
      <c r="AE26" s="207">
        <v>33</v>
      </c>
      <c r="AF26" s="205">
        <v>0.54545454545454541</v>
      </c>
      <c r="AG26" s="493">
        <v>0.59199999999999997</v>
      </c>
      <c r="AH26" s="207">
        <v>107</v>
      </c>
      <c r="AI26" s="207">
        <v>141</v>
      </c>
      <c r="AJ26" s="205">
        <v>0.75886524822695034</v>
      </c>
      <c r="AK26" s="493">
        <v>0.42599999999999999</v>
      </c>
    </row>
    <row r="27" spans="1:37" x14ac:dyDescent="0.3">
      <c r="A27" s="162">
        <v>8</v>
      </c>
      <c r="B27" s="207">
        <v>106</v>
      </c>
      <c r="C27" s="207">
        <v>144</v>
      </c>
      <c r="D27" s="205">
        <v>0.73611111111111116</v>
      </c>
      <c r="E27" s="493">
        <v>0.78600000000000003</v>
      </c>
      <c r="F27" s="207">
        <v>131</v>
      </c>
      <c r="G27" s="207">
        <v>153</v>
      </c>
      <c r="H27" s="205">
        <v>0.85620915032679734</v>
      </c>
      <c r="I27" s="493">
        <v>0.85799999999999998</v>
      </c>
      <c r="J27" s="206">
        <v>1625941</v>
      </c>
      <c r="K27" s="207">
        <v>131</v>
      </c>
      <c r="L27" s="206">
        <v>12411.763358778626</v>
      </c>
      <c r="M27" s="494">
        <v>9976</v>
      </c>
      <c r="N27" s="207">
        <v>143</v>
      </c>
      <c r="O27" s="207">
        <v>174</v>
      </c>
      <c r="P27" s="205">
        <v>0.82183908045977017</v>
      </c>
      <c r="Q27" s="493">
        <v>0.76900000000000002</v>
      </c>
      <c r="R27" s="207">
        <v>146</v>
      </c>
      <c r="S27" s="207">
        <v>171</v>
      </c>
      <c r="T27" s="205">
        <v>0.85380116959064323</v>
      </c>
      <c r="U27" s="493">
        <v>0.83499999999999996</v>
      </c>
      <c r="V27" s="206">
        <v>2356680</v>
      </c>
      <c r="W27" s="207">
        <v>146</v>
      </c>
      <c r="X27" s="206">
        <v>16141.643835616438</v>
      </c>
      <c r="Y27" s="494">
        <v>12502</v>
      </c>
      <c r="Z27" s="207">
        <v>91</v>
      </c>
      <c r="AA27" s="207">
        <v>109</v>
      </c>
      <c r="AB27" s="205">
        <v>0.83486238532110091</v>
      </c>
      <c r="AC27" s="493">
        <v>0.73599999999999999</v>
      </c>
      <c r="AD27" s="207">
        <v>65</v>
      </c>
      <c r="AE27" s="207">
        <v>118</v>
      </c>
      <c r="AF27" s="205">
        <v>0.55084745762711862</v>
      </c>
      <c r="AG27" s="493">
        <v>0.46100000000000002</v>
      </c>
      <c r="AH27" s="207">
        <v>86</v>
      </c>
      <c r="AI27" s="207">
        <v>157</v>
      </c>
      <c r="AJ27" s="205">
        <v>0.54777070063694266</v>
      </c>
      <c r="AK27" s="493">
        <v>0.53200000000000003</v>
      </c>
    </row>
    <row r="28" spans="1:37" x14ac:dyDescent="0.3">
      <c r="A28" s="162">
        <v>9</v>
      </c>
      <c r="B28" s="207">
        <v>109</v>
      </c>
      <c r="C28" s="207">
        <v>132</v>
      </c>
      <c r="D28" s="205">
        <v>0.8257575757575758</v>
      </c>
      <c r="E28" s="493">
        <v>0.82899999999999996</v>
      </c>
      <c r="F28" s="207">
        <v>101</v>
      </c>
      <c r="G28" s="207">
        <v>115</v>
      </c>
      <c r="H28" s="205">
        <v>0.87826086956521743</v>
      </c>
      <c r="I28" s="493">
        <v>0.82599999999999996</v>
      </c>
      <c r="J28" s="206">
        <v>1055334</v>
      </c>
      <c r="K28" s="207">
        <v>101</v>
      </c>
      <c r="L28" s="206">
        <v>10448.851485148514</v>
      </c>
      <c r="M28" s="494">
        <v>8973</v>
      </c>
      <c r="N28" s="207">
        <v>186</v>
      </c>
      <c r="O28" s="207">
        <v>224</v>
      </c>
      <c r="P28" s="205">
        <v>0.8303571428571429</v>
      </c>
      <c r="Q28" s="493">
        <v>0.76200000000000001</v>
      </c>
      <c r="R28" s="207">
        <v>177</v>
      </c>
      <c r="S28" s="207">
        <v>201</v>
      </c>
      <c r="T28" s="205">
        <v>0.88059701492537312</v>
      </c>
      <c r="U28" s="493">
        <v>0.85799999999999998</v>
      </c>
      <c r="V28" s="206">
        <v>2820243</v>
      </c>
      <c r="W28" s="207">
        <v>174</v>
      </c>
      <c r="X28" s="206">
        <v>16208.293103448275</v>
      </c>
      <c r="Y28" s="494">
        <v>13044</v>
      </c>
      <c r="Z28" s="207">
        <v>76</v>
      </c>
      <c r="AA28" s="207">
        <v>93</v>
      </c>
      <c r="AB28" s="205">
        <v>0.81720430107526887</v>
      </c>
      <c r="AC28" s="493">
        <v>0.72599999999999998</v>
      </c>
      <c r="AD28" s="207">
        <v>42</v>
      </c>
      <c r="AE28" s="207">
        <v>59</v>
      </c>
      <c r="AF28" s="205">
        <v>0.71186440677966101</v>
      </c>
      <c r="AG28" s="493">
        <v>0.51800000000000002</v>
      </c>
      <c r="AH28" s="207">
        <v>58</v>
      </c>
      <c r="AI28" s="207">
        <v>98</v>
      </c>
      <c r="AJ28" s="205">
        <v>0.59183673469387754</v>
      </c>
      <c r="AK28" s="493">
        <v>0.52</v>
      </c>
    </row>
    <row r="29" spans="1:37" x14ac:dyDescent="0.3">
      <c r="A29" s="162">
        <v>10</v>
      </c>
      <c r="B29" s="207">
        <v>114</v>
      </c>
      <c r="C29" s="207">
        <v>133</v>
      </c>
      <c r="D29" s="205">
        <v>0.8571428571428571</v>
      </c>
      <c r="E29" s="493">
        <v>0.79500000000000004</v>
      </c>
      <c r="F29" s="207">
        <v>112</v>
      </c>
      <c r="G29" s="207">
        <v>136</v>
      </c>
      <c r="H29" s="205">
        <v>0.82352941176470584</v>
      </c>
      <c r="I29" s="493">
        <v>0.85199999999999998</v>
      </c>
      <c r="J29" s="206">
        <v>1399346</v>
      </c>
      <c r="K29" s="207">
        <v>112</v>
      </c>
      <c r="L29" s="206">
        <v>12494.160714285714</v>
      </c>
      <c r="M29" s="494">
        <v>8102</v>
      </c>
      <c r="N29" s="207">
        <v>108</v>
      </c>
      <c r="O29" s="207">
        <v>128</v>
      </c>
      <c r="P29" s="205">
        <v>0.84375</v>
      </c>
      <c r="Q29" s="493">
        <v>0.754</v>
      </c>
      <c r="R29" s="207">
        <v>104</v>
      </c>
      <c r="S29" s="207">
        <v>118</v>
      </c>
      <c r="T29" s="205">
        <v>0.88135593220338981</v>
      </c>
      <c r="U29" s="493">
        <v>0.86</v>
      </c>
      <c r="V29" s="206">
        <v>2118525</v>
      </c>
      <c r="W29" s="207">
        <v>104</v>
      </c>
      <c r="X29" s="206">
        <v>20370.432692307691</v>
      </c>
      <c r="Y29" s="494">
        <v>15535</v>
      </c>
      <c r="Z29" s="207">
        <v>114</v>
      </c>
      <c r="AA29" s="207">
        <v>145</v>
      </c>
      <c r="AB29" s="205">
        <v>0.78600000000000003</v>
      </c>
      <c r="AC29" s="493">
        <v>0.77700000000000002</v>
      </c>
      <c r="AD29" s="207">
        <v>16</v>
      </c>
      <c r="AE29" s="207">
        <v>43</v>
      </c>
      <c r="AF29" s="205">
        <v>0.37209302325581395</v>
      </c>
      <c r="AG29" s="493">
        <v>0.498</v>
      </c>
      <c r="AH29" s="207">
        <v>100</v>
      </c>
      <c r="AI29" s="207">
        <v>173</v>
      </c>
      <c r="AJ29" s="205">
        <v>0.5780346820809249</v>
      </c>
      <c r="AK29" s="493">
        <v>0.53900000000000003</v>
      </c>
    </row>
    <row r="30" spans="1:37" x14ac:dyDescent="0.3">
      <c r="A30" s="162">
        <v>11</v>
      </c>
      <c r="B30" s="207">
        <v>85</v>
      </c>
      <c r="C30" s="207">
        <v>110</v>
      </c>
      <c r="D30" s="205">
        <v>0.77272727272727271</v>
      </c>
      <c r="E30" s="493">
        <v>0.84199999999999997</v>
      </c>
      <c r="F30" s="207">
        <v>61</v>
      </c>
      <c r="G30" s="207">
        <v>75</v>
      </c>
      <c r="H30" s="205">
        <v>0.81333333333333335</v>
      </c>
      <c r="I30" s="493">
        <v>0.84599999999999997</v>
      </c>
      <c r="J30" s="206">
        <v>666241</v>
      </c>
      <c r="K30" s="207">
        <v>61</v>
      </c>
      <c r="L30" s="206">
        <v>10921.983606557376</v>
      </c>
      <c r="M30" s="494">
        <v>13115</v>
      </c>
      <c r="N30" s="207">
        <v>69</v>
      </c>
      <c r="O30" s="207">
        <v>78</v>
      </c>
      <c r="P30" s="205">
        <v>0.88461538461538458</v>
      </c>
      <c r="Q30" s="493">
        <v>0.85899999999999999</v>
      </c>
      <c r="R30" s="207">
        <v>45</v>
      </c>
      <c r="S30" s="207">
        <v>51</v>
      </c>
      <c r="T30" s="205">
        <v>0.88235294117647056</v>
      </c>
      <c r="U30" s="493">
        <v>0.9</v>
      </c>
      <c r="V30" s="206">
        <v>819914</v>
      </c>
      <c r="W30" s="207">
        <v>45</v>
      </c>
      <c r="X30" s="206">
        <v>18220.31111111111</v>
      </c>
      <c r="Y30" s="494">
        <v>18698</v>
      </c>
      <c r="Z30" s="207">
        <v>70</v>
      </c>
      <c r="AA30" s="207">
        <v>90</v>
      </c>
      <c r="AB30" s="205">
        <v>0.77777777777777779</v>
      </c>
      <c r="AC30" s="493">
        <v>0.73699999999999999</v>
      </c>
      <c r="AD30" s="207">
        <v>33</v>
      </c>
      <c r="AE30" s="207">
        <v>54</v>
      </c>
      <c r="AF30" s="205">
        <v>0.61111111111111116</v>
      </c>
      <c r="AG30" s="493">
        <v>0.43099999999999999</v>
      </c>
      <c r="AH30" s="207">
        <v>71</v>
      </c>
      <c r="AI30" s="207">
        <v>98</v>
      </c>
      <c r="AJ30" s="205">
        <v>0.72448979591836737</v>
      </c>
      <c r="AK30" s="493">
        <v>0.61899999999999999</v>
      </c>
    </row>
    <row r="31" spans="1:37" x14ac:dyDescent="0.3">
      <c r="A31" s="162">
        <v>12</v>
      </c>
      <c r="B31" s="207">
        <v>176</v>
      </c>
      <c r="C31" s="207">
        <v>214</v>
      </c>
      <c r="D31" s="205">
        <v>0.82242990654205606</v>
      </c>
      <c r="E31" s="493">
        <v>0.77800000000000002</v>
      </c>
      <c r="F31" s="207">
        <v>182</v>
      </c>
      <c r="G31" s="207">
        <v>206</v>
      </c>
      <c r="H31" s="205">
        <v>0.88349514563106801</v>
      </c>
      <c r="I31" s="493">
        <v>0.81599999999999995</v>
      </c>
      <c r="J31" s="206">
        <v>2797588</v>
      </c>
      <c r="K31" s="207">
        <v>176</v>
      </c>
      <c r="L31" s="206">
        <v>15895.386363636364</v>
      </c>
      <c r="M31" s="494">
        <v>8943</v>
      </c>
      <c r="N31" s="207">
        <v>239</v>
      </c>
      <c r="O31" s="207">
        <v>276</v>
      </c>
      <c r="P31" s="205">
        <v>0.86594202898550721</v>
      </c>
      <c r="Q31" s="493">
        <v>0.73499999999999999</v>
      </c>
      <c r="R31" s="207">
        <v>230</v>
      </c>
      <c r="S31" s="207">
        <v>263</v>
      </c>
      <c r="T31" s="205">
        <v>0.87452471482889738</v>
      </c>
      <c r="U31" s="493">
        <v>0.84099999999999997</v>
      </c>
      <c r="V31" s="206">
        <v>4183886</v>
      </c>
      <c r="W31" s="207">
        <v>223</v>
      </c>
      <c r="X31" s="206">
        <v>18761.820627802692</v>
      </c>
      <c r="Y31" s="494">
        <v>10916</v>
      </c>
      <c r="Z31" s="207">
        <v>106</v>
      </c>
      <c r="AA31" s="207">
        <v>144</v>
      </c>
      <c r="AB31" s="205">
        <v>0.73611111111111116</v>
      </c>
      <c r="AC31" s="493">
        <v>0.73499999999999999</v>
      </c>
      <c r="AD31" s="207">
        <v>52</v>
      </c>
      <c r="AE31" s="207">
        <v>73</v>
      </c>
      <c r="AF31" s="205">
        <v>0.71232876712328763</v>
      </c>
      <c r="AG31" s="493">
        <v>0.376</v>
      </c>
      <c r="AH31" s="207">
        <v>149</v>
      </c>
      <c r="AI31" s="207">
        <v>220</v>
      </c>
      <c r="AJ31" s="205">
        <v>0.67727272727272725</v>
      </c>
      <c r="AK31" s="493">
        <v>0.59099999999999997</v>
      </c>
    </row>
    <row r="32" spans="1:37" ht="21" x14ac:dyDescent="0.35">
      <c r="B32" s="680" t="s">
        <v>378</v>
      </c>
      <c r="C32" s="681"/>
      <c r="D32" s="681"/>
      <c r="E32" s="681"/>
      <c r="F32" s="682"/>
    </row>
    <row r="33" spans="2:6" x14ac:dyDescent="0.3">
      <c r="B33" s="480" t="s">
        <v>424</v>
      </c>
      <c r="C33" s="162" t="s">
        <v>178</v>
      </c>
      <c r="D33" s="162" t="s">
        <v>179</v>
      </c>
      <c r="E33" s="162" t="s">
        <v>108</v>
      </c>
      <c r="F33" s="481" t="s">
        <v>180</v>
      </c>
    </row>
    <row r="34" spans="2:6" x14ac:dyDescent="0.3">
      <c r="B34" s="482" t="s">
        <v>1</v>
      </c>
      <c r="C34" s="478">
        <f>'Area Data'!I4</f>
        <v>0.5</v>
      </c>
      <c r="D34" s="162"/>
      <c r="E34" s="479">
        <f>C16</f>
        <v>0.52</v>
      </c>
      <c r="F34" s="481"/>
    </row>
    <row r="35" spans="2:6" x14ac:dyDescent="0.3">
      <c r="B35" s="482" t="s">
        <v>2</v>
      </c>
      <c r="C35" s="478">
        <f>'Area Data'!I8</f>
        <v>0.78</v>
      </c>
      <c r="D35" s="162"/>
      <c r="E35" s="475">
        <f>E16</f>
        <v>0.76600000000000001</v>
      </c>
      <c r="F35" s="481"/>
    </row>
    <row r="36" spans="2:6" x14ac:dyDescent="0.3">
      <c r="B36" s="482" t="s">
        <v>3</v>
      </c>
      <c r="C36" s="478"/>
      <c r="D36" s="165">
        <f>'Area Data'!I12</f>
        <v>13751</v>
      </c>
      <c r="E36" s="478"/>
      <c r="F36" s="483">
        <f>G16</f>
        <v>13500</v>
      </c>
    </row>
    <row r="37" spans="2:6" x14ac:dyDescent="0.3">
      <c r="B37" s="484"/>
      <c r="C37" s="162"/>
      <c r="D37" s="162"/>
      <c r="E37" s="162"/>
      <c r="F37" s="481"/>
    </row>
    <row r="38" spans="2:6" x14ac:dyDescent="0.3">
      <c r="B38" s="480" t="s">
        <v>11</v>
      </c>
      <c r="C38" s="162" t="s">
        <v>178</v>
      </c>
      <c r="D38" s="162" t="s">
        <v>179</v>
      </c>
      <c r="E38" s="162" t="s">
        <v>108</v>
      </c>
      <c r="F38" s="481" t="s">
        <v>180</v>
      </c>
    </row>
    <row r="39" spans="2:6" x14ac:dyDescent="0.3">
      <c r="B39" s="482" t="s">
        <v>1</v>
      </c>
      <c r="C39" s="478">
        <f>'Area Data'!I5</f>
        <v>0.79012345679012341</v>
      </c>
      <c r="D39" s="162"/>
      <c r="E39" s="478">
        <f>'Area Data'!J5</f>
        <v>0.77500000000000002</v>
      </c>
      <c r="F39" s="481"/>
    </row>
    <row r="40" spans="2:6" x14ac:dyDescent="0.3">
      <c r="B40" s="482" t="s">
        <v>2</v>
      </c>
      <c r="C40" s="478">
        <f>'Area Data'!I9</f>
        <v>0.83529411764705885</v>
      </c>
      <c r="D40" s="162"/>
      <c r="E40" s="478">
        <f>'Area Data'!J9</f>
        <v>0.82</v>
      </c>
      <c r="F40" s="481"/>
    </row>
    <row r="41" spans="2:6" x14ac:dyDescent="0.3">
      <c r="B41" s="482" t="s">
        <v>3</v>
      </c>
      <c r="C41" s="478"/>
      <c r="D41" s="165">
        <f>'Area Data'!I13</f>
        <v>14229.591240875912</v>
      </c>
      <c r="E41" s="478"/>
      <c r="F41" s="483">
        <f>'Area Data'!J13</f>
        <v>9721</v>
      </c>
    </row>
    <row r="42" spans="2:6" x14ac:dyDescent="0.3">
      <c r="B42" s="484"/>
      <c r="C42" s="162"/>
      <c r="D42" s="162"/>
      <c r="E42" s="162"/>
      <c r="F42" s="481"/>
    </row>
    <row r="43" spans="2:6" x14ac:dyDescent="0.3">
      <c r="B43" s="480" t="s">
        <v>31</v>
      </c>
      <c r="C43" s="162" t="s">
        <v>178</v>
      </c>
      <c r="D43" s="162" t="s">
        <v>179</v>
      </c>
      <c r="E43" s="162" t="s">
        <v>108</v>
      </c>
      <c r="F43" s="481" t="s">
        <v>180</v>
      </c>
    </row>
    <row r="44" spans="2:6" x14ac:dyDescent="0.3">
      <c r="B44" s="482" t="s">
        <v>1</v>
      </c>
      <c r="C44" s="478">
        <f>'Area Data'!I6</f>
        <v>0.80252100840336138</v>
      </c>
      <c r="D44" s="162"/>
      <c r="E44" s="478">
        <f>'Area Data'!J6</f>
        <v>0.77400000000000002</v>
      </c>
      <c r="F44" s="481"/>
    </row>
    <row r="45" spans="2:6" x14ac:dyDescent="0.3">
      <c r="B45" s="482" t="s">
        <v>2</v>
      </c>
      <c r="C45" s="478">
        <f>'Area Data'!I10</f>
        <v>0.86227544910179643</v>
      </c>
      <c r="D45" s="162"/>
      <c r="E45" s="478">
        <f>'Area Data'!J10</f>
        <v>0.84199999999999997</v>
      </c>
      <c r="F45" s="481"/>
    </row>
    <row r="46" spans="2:6" x14ac:dyDescent="0.3">
      <c r="B46" s="482" t="s">
        <v>3</v>
      </c>
      <c r="C46" s="478"/>
      <c r="D46" s="165">
        <f>'Area Data'!I14</f>
        <v>17204.261194029852</v>
      </c>
      <c r="E46" s="478"/>
      <c r="F46" s="483">
        <f>'Area Data'!J14</f>
        <v>14926</v>
      </c>
    </row>
    <row r="47" spans="2:6" x14ac:dyDescent="0.3">
      <c r="B47" s="484"/>
      <c r="C47" s="162"/>
      <c r="D47" s="162"/>
      <c r="E47" s="162"/>
      <c r="F47" s="481"/>
    </row>
    <row r="48" spans="2:6" x14ac:dyDescent="0.3">
      <c r="B48" s="480"/>
      <c r="C48" s="162"/>
      <c r="D48" s="162"/>
      <c r="E48" s="162"/>
      <c r="F48" s="481"/>
    </row>
    <row r="49" spans="2:6" x14ac:dyDescent="0.3">
      <c r="B49" s="482"/>
      <c r="C49" s="478"/>
      <c r="D49" s="162"/>
      <c r="E49" s="478"/>
      <c r="F49" s="481"/>
    </row>
    <row r="50" spans="2:6" x14ac:dyDescent="0.3">
      <c r="B50" s="482" t="s">
        <v>377</v>
      </c>
      <c r="C50" s="478" t="s">
        <v>178</v>
      </c>
      <c r="D50" s="162" t="s">
        <v>179</v>
      </c>
      <c r="E50" s="478" t="s">
        <v>108</v>
      </c>
      <c r="F50" s="481" t="s">
        <v>180</v>
      </c>
    </row>
    <row r="51" spans="2:6" x14ac:dyDescent="0.3">
      <c r="B51" s="482" t="s">
        <v>1</v>
      </c>
      <c r="C51" s="478">
        <f>E3</f>
        <v>0.52</v>
      </c>
      <c r="D51" s="165"/>
      <c r="E51" s="475">
        <f>C16</f>
        <v>0.52</v>
      </c>
      <c r="F51" s="483"/>
    </row>
    <row r="52" spans="2:6" x14ac:dyDescent="0.3">
      <c r="B52" s="484" t="s">
        <v>2</v>
      </c>
      <c r="C52" s="478">
        <f>H3</f>
        <v>0.79</v>
      </c>
      <c r="D52" s="478"/>
      <c r="E52" s="475">
        <f>E16</f>
        <v>0.76600000000000001</v>
      </c>
      <c r="F52" s="481"/>
    </row>
    <row r="53" spans="2:6" x14ac:dyDescent="0.3">
      <c r="B53" s="484" t="s">
        <v>3</v>
      </c>
      <c r="C53" s="162"/>
      <c r="D53" s="165">
        <f>K3</f>
        <v>14447</v>
      </c>
      <c r="E53" s="165"/>
      <c r="F53" s="483">
        <f>G16</f>
        <v>13500</v>
      </c>
    </row>
    <row r="54" spans="2:6" x14ac:dyDescent="0.3">
      <c r="B54" s="484"/>
      <c r="C54" s="162"/>
      <c r="D54" s="162"/>
      <c r="E54" s="162"/>
      <c r="F54" s="481"/>
    </row>
    <row r="55" spans="2:6" x14ac:dyDescent="0.3">
      <c r="B55" s="484" t="s">
        <v>11</v>
      </c>
      <c r="C55" s="162" t="s">
        <v>178</v>
      </c>
      <c r="D55" s="162" t="s">
        <v>179</v>
      </c>
      <c r="E55" s="162" t="s">
        <v>108</v>
      </c>
      <c r="F55" s="481" t="s">
        <v>180</v>
      </c>
    </row>
    <row r="56" spans="2:6" x14ac:dyDescent="0.3">
      <c r="B56" s="484" t="s">
        <v>1</v>
      </c>
      <c r="C56" s="478">
        <v>0.76053130929791268</v>
      </c>
      <c r="D56" s="478"/>
      <c r="E56" s="478">
        <v>0.752</v>
      </c>
      <c r="F56" s="485"/>
    </row>
    <row r="57" spans="2:6" x14ac:dyDescent="0.3">
      <c r="B57" s="484" t="s">
        <v>2</v>
      </c>
      <c r="C57" s="478">
        <v>0.84326923076923077</v>
      </c>
      <c r="D57" s="478"/>
      <c r="E57" s="478">
        <v>0.81</v>
      </c>
      <c r="F57" s="485"/>
    </row>
    <row r="58" spans="2:6" x14ac:dyDescent="0.3">
      <c r="B58" s="484" t="s">
        <v>3</v>
      </c>
      <c r="C58" s="162"/>
      <c r="D58" s="165">
        <v>12917.811494252874</v>
      </c>
      <c r="E58" s="165"/>
      <c r="F58" s="483">
        <v>9456</v>
      </c>
    </row>
    <row r="59" spans="2:6" x14ac:dyDescent="0.3">
      <c r="B59" s="484"/>
      <c r="C59" s="162"/>
      <c r="D59" s="162"/>
      <c r="E59" s="162"/>
      <c r="F59" s="481"/>
    </row>
    <row r="60" spans="2:6" x14ac:dyDescent="0.3">
      <c r="B60" s="484" t="s">
        <v>31</v>
      </c>
      <c r="C60" s="162" t="s">
        <v>178</v>
      </c>
      <c r="D60" s="162" t="s">
        <v>179</v>
      </c>
      <c r="E60" s="162" t="s">
        <v>108</v>
      </c>
      <c r="F60" s="481" t="s">
        <v>180</v>
      </c>
    </row>
    <row r="61" spans="2:6" x14ac:dyDescent="0.3">
      <c r="B61" s="484" t="s">
        <v>1</v>
      </c>
      <c r="C61" s="478">
        <v>0.82210812443370584</v>
      </c>
      <c r="D61" s="478"/>
      <c r="E61" s="478">
        <v>0.73599999999999999</v>
      </c>
      <c r="F61" s="485"/>
    </row>
    <row r="62" spans="2:6" x14ac:dyDescent="0.3">
      <c r="B62" s="484" t="s">
        <v>2</v>
      </c>
      <c r="C62" s="478">
        <v>0.88728813559322028</v>
      </c>
      <c r="D62" s="478"/>
      <c r="E62" s="478">
        <v>0.83899999999999997</v>
      </c>
      <c r="F62" s="485"/>
    </row>
    <row r="63" spans="2:6" ht="19.5" thickBot="1" x14ac:dyDescent="0.35">
      <c r="B63" s="486" t="s">
        <v>3</v>
      </c>
      <c r="C63" s="487"/>
      <c r="D63" s="488">
        <v>14043</v>
      </c>
      <c r="E63" s="488"/>
      <c r="F63" s="489">
        <v>14043</v>
      </c>
    </row>
    <row r="67" spans="2:7" ht="19.5" thickBot="1" x14ac:dyDescent="0.35"/>
    <row r="68" spans="2:7" x14ac:dyDescent="0.3">
      <c r="B68" s="499" t="s">
        <v>561</v>
      </c>
      <c r="C68" s="501"/>
      <c r="D68" s="501"/>
      <c r="E68" s="501"/>
      <c r="F68" s="501"/>
      <c r="G68" s="502"/>
    </row>
    <row r="69" spans="2:7" x14ac:dyDescent="0.3">
      <c r="B69" s="484" t="s">
        <v>583</v>
      </c>
      <c r="C69" s="471" t="s">
        <v>1</v>
      </c>
      <c r="D69" s="471" t="s">
        <v>3</v>
      </c>
      <c r="E69" s="471" t="s">
        <v>586</v>
      </c>
      <c r="F69" s="471" t="s">
        <v>562</v>
      </c>
      <c r="G69" s="520" t="s">
        <v>563</v>
      </c>
    </row>
    <row r="70" spans="2:7" x14ac:dyDescent="0.3">
      <c r="B70" s="484" t="s">
        <v>584</v>
      </c>
      <c r="C70" s="474">
        <v>0.68952328550196096</v>
      </c>
      <c r="D70" s="165">
        <v>13274</v>
      </c>
      <c r="E70" s="472">
        <v>0.82</v>
      </c>
      <c r="F70" s="162"/>
      <c r="G70" s="481"/>
    </row>
    <row r="71" spans="2:7" x14ac:dyDescent="0.3">
      <c r="B71" s="484" t="s">
        <v>585</v>
      </c>
      <c r="C71" s="474">
        <v>0.6916225708928907</v>
      </c>
      <c r="D71" s="165">
        <v>13299</v>
      </c>
      <c r="E71" s="472">
        <v>0.82</v>
      </c>
      <c r="F71" s="162"/>
      <c r="G71" s="481"/>
    </row>
    <row r="72" spans="2:7" x14ac:dyDescent="0.3">
      <c r="B72" s="521" t="s">
        <v>564</v>
      </c>
      <c r="C72" s="474">
        <v>0.69261817104960099</v>
      </c>
      <c r="D72" s="165">
        <v>13305</v>
      </c>
      <c r="E72" s="472">
        <v>0.82</v>
      </c>
      <c r="F72" s="162"/>
      <c r="G72" s="481"/>
    </row>
    <row r="73" spans="2:7" x14ac:dyDescent="0.3">
      <c r="B73" s="521" t="s">
        <v>565</v>
      </c>
      <c r="C73" s="474">
        <v>0.68441981599219814</v>
      </c>
      <c r="D73" s="165">
        <v>13335</v>
      </c>
      <c r="E73" s="472">
        <v>0.82</v>
      </c>
      <c r="F73" s="162"/>
      <c r="G73" s="481"/>
    </row>
    <row r="74" spans="2:7" x14ac:dyDescent="0.3">
      <c r="B74" s="521" t="s">
        <v>566</v>
      </c>
      <c r="C74" s="474">
        <v>0.70230543699546455</v>
      </c>
      <c r="D74" s="165">
        <v>13780</v>
      </c>
      <c r="E74" s="472">
        <v>0.83</v>
      </c>
      <c r="F74" s="162"/>
      <c r="G74" s="481"/>
    </row>
    <row r="75" spans="2:7" x14ac:dyDescent="0.3">
      <c r="B75" s="521" t="s">
        <v>567</v>
      </c>
      <c r="C75" s="474">
        <v>0.70275869240059829</v>
      </c>
      <c r="D75" s="165">
        <v>14077</v>
      </c>
      <c r="E75" s="472">
        <v>0.83</v>
      </c>
      <c r="F75" s="162"/>
      <c r="G75" s="481"/>
    </row>
    <row r="76" spans="2:7" x14ac:dyDescent="0.3">
      <c r="B76" s="521" t="s">
        <v>568</v>
      </c>
      <c r="C76" s="474">
        <v>0.7044143522582067</v>
      </c>
      <c r="D76" s="165">
        <v>14193</v>
      </c>
      <c r="E76" s="472">
        <v>0.83</v>
      </c>
      <c r="F76" s="162"/>
      <c r="G76" s="481"/>
    </row>
    <row r="77" spans="2:7" x14ac:dyDescent="0.3">
      <c r="B77" s="521" t="s">
        <v>569</v>
      </c>
      <c r="C77" s="474">
        <v>0.69720836153886689</v>
      </c>
      <c r="D77" s="165">
        <v>14352</v>
      </c>
      <c r="E77" s="472">
        <v>0.83</v>
      </c>
      <c r="F77" s="162"/>
      <c r="G77" s="481"/>
    </row>
    <row r="78" spans="2:7" x14ac:dyDescent="0.3">
      <c r="B78" s="521" t="s">
        <v>570</v>
      </c>
      <c r="C78" s="474">
        <v>0.68748367293625912</v>
      </c>
      <c r="D78" s="165">
        <v>14403</v>
      </c>
      <c r="E78" s="472">
        <v>0.83</v>
      </c>
      <c r="F78" s="162"/>
      <c r="G78" s="481"/>
    </row>
    <row r="79" spans="2:7" x14ac:dyDescent="0.3">
      <c r="B79" s="521" t="s">
        <v>571</v>
      </c>
      <c r="C79" s="474">
        <v>0.6644409294163578</v>
      </c>
      <c r="D79" s="165">
        <v>14370</v>
      </c>
      <c r="E79" s="472">
        <v>0.82</v>
      </c>
      <c r="F79" s="162"/>
      <c r="G79" s="481"/>
    </row>
    <row r="80" spans="2:7" x14ac:dyDescent="0.3">
      <c r="B80" s="521" t="s">
        <v>572</v>
      </c>
      <c r="C80" s="474">
        <v>0.62050102010621566</v>
      </c>
      <c r="D80" s="165">
        <v>14382</v>
      </c>
      <c r="E80" s="472">
        <v>0.81</v>
      </c>
      <c r="F80" s="474">
        <v>0.52</v>
      </c>
      <c r="G80" s="483">
        <v>13500</v>
      </c>
    </row>
    <row r="81" spans="1:11" x14ac:dyDescent="0.3">
      <c r="B81" s="521" t="s">
        <v>573</v>
      </c>
      <c r="C81" s="474">
        <v>0.57360719677446481</v>
      </c>
      <c r="D81" s="165">
        <v>14233</v>
      </c>
      <c r="E81" s="472">
        <v>0.79</v>
      </c>
      <c r="F81" s="474">
        <v>0.52</v>
      </c>
      <c r="G81" s="483">
        <v>13500</v>
      </c>
    </row>
    <row r="82" spans="1:11" x14ac:dyDescent="0.3">
      <c r="B82" s="521" t="s">
        <v>574</v>
      </c>
      <c r="C82" s="474">
        <v>0.53713615991776253</v>
      </c>
      <c r="D82" s="165">
        <v>14114</v>
      </c>
      <c r="E82" s="472">
        <v>0.78</v>
      </c>
      <c r="F82" s="474">
        <v>0.52</v>
      </c>
      <c r="G82" s="483">
        <v>13500</v>
      </c>
    </row>
    <row r="83" spans="1:11" x14ac:dyDescent="0.3">
      <c r="B83" s="521" t="s">
        <v>575</v>
      </c>
      <c r="C83" s="474">
        <v>0.50865471498747639</v>
      </c>
      <c r="D83" s="165">
        <v>14148</v>
      </c>
      <c r="E83" s="472">
        <v>0.77</v>
      </c>
      <c r="F83" s="474">
        <v>0.52</v>
      </c>
      <c r="G83" s="483">
        <v>13500</v>
      </c>
    </row>
    <row r="84" spans="1:11" x14ac:dyDescent="0.3">
      <c r="B84" s="521" t="s">
        <v>576</v>
      </c>
      <c r="C84" s="474">
        <v>0.49139417396953489</v>
      </c>
      <c r="D84" s="165">
        <v>14157</v>
      </c>
      <c r="E84" s="472">
        <v>0.76</v>
      </c>
      <c r="F84" s="474">
        <v>0.52</v>
      </c>
      <c r="G84" s="483">
        <v>13500</v>
      </c>
    </row>
    <row r="85" spans="1:11" x14ac:dyDescent="0.3">
      <c r="B85" s="521" t="s">
        <v>577</v>
      </c>
      <c r="C85" s="474">
        <v>0.48946144515131129</v>
      </c>
      <c r="D85" s="165">
        <v>14223</v>
      </c>
      <c r="E85" s="472">
        <v>0.77</v>
      </c>
      <c r="F85" s="474">
        <v>0.52</v>
      </c>
      <c r="G85" s="483">
        <v>13500</v>
      </c>
    </row>
    <row r="86" spans="1:11" x14ac:dyDescent="0.3">
      <c r="B86" s="521" t="s">
        <v>578</v>
      </c>
      <c r="C86" s="474">
        <v>0.49110921365103932</v>
      </c>
      <c r="D86" s="165">
        <v>14339</v>
      </c>
      <c r="E86" s="472">
        <v>0.77</v>
      </c>
      <c r="F86" s="474">
        <v>0.52</v>
      </c>
      <c r="G86" s="483">
        <v>13500</v>
      </c>
    </row>
    <row r="87" spans="1:11" x14ac:dyDescent="0.3">
      <c r="B87" s="521" t="s">
        <v>579</v>
      </c>
      <c r="C87" s="474">
        <v>0.49817861729926038</v>
      </c>
      <c r="D87" s="165">
        <v>14434</v>
      </c>
      <c r="E87" s="472">
        <v>0.78</v>
      </c>
      <c r="F87" s="474">
        <v>0.52</v>
      </c>
      <c r="G87" s="483">
        <v>13500</v>
      </c>
    </row>
    <row r="88" spans="1:11" x14ac:dyDescent="0.3">
      <c r="B88" s="521" t="s">
        <v>580</v>
      </c>
      <c r="C88" s="474">
        <v>0.51652970195023207</v>
      </c>
      <c r="D88" s="165">
        <v>14320</v>
      </c>
      <c r="E88" s="472">
        <v>0.78</v>
      </c>
      <c r="F88" s="474">
        <v>0.5</v>
      </c>
      <c r="G88" s="483">
        <v>13500</v>
      </c>
    </row>
    <row r="89" spans="1:11" x14ac:dyDescent="0.3">
      <c r="B89" s="521" t="s">
        <v>581</v>
      </c>
      <c r="C89" s="474">
        <v>0.51652970195023207</v>
      </c>
      <c r="D89" s="165">
        <v>14447</v>
      </c>
      <c r="E89" s="474">
        <v>0.79</v>
      </c>
      <c r="F89" s="474">
        <v>0.5</v>
      </c>
      <c r="G89" s="483">
        <v>13500</v>
      </c>
    </row>
    <row r="90" spans="1:11" x14ac:dyDescent="0.3">
      <c r="B90" s="521" t="s">
        <v>582</v>
      </c>
      <c r="C90" s="162"/>
      <c r="D90" s="162"/>
      <c r="E90" s="162"/>
      <c r="F90" s="162"/>
      <c r="G90" s="481"/>
    </row>
    <row r="91" spans="1:11" s="473" customFormat="1" x14ac:dyDescent="0.3">
      <c r="B91" s="521" t="s">
        <v>597</v>
      </c>
      <c r="C91" s="162"/>
      <c r="D91" s="162"/>
      <c r="E91" s="162"/>
      <c r="F91" s="162"/>
      <c r="G91" s="481"/>
    </row>
    <row r="92" spans="1:11" s="473" customFormat="1" x14ac:dyDescent="0.3">
      <c r="B92" s="521" t="s">
        <v>598</v>
      </c>
      <c r="C92" s="162"/>
      <c r="D92" s="162"/>
      <c r="E92" s="162"/>
      <c r="F92" s="162"/>
      <c r="G92" s="481"/>
    </row>
    <row r="93" spans="1:11" s="473" customFormat="1" x14ac:dyDescent="0.3">
      <c r="B93" s="521" t="s">
        <v>599</v>
      </c>
      <c r="C93" s="162"/>
      <c r="D93" s="162"/>
      <c r="E93" s="162"/>
      <c r="F93" s="162"/>
      <c r="G93" s="481"/>
    </row>
    <row r="94" spans="1:11" s="473" customFormat="1" x14ac:dyDescent="0.3">
      <c r="B94" s="521" t="s">
        <v>600</v>
      </c>
      <c r="C94" s="162"/>
      <c r="D94" s="162"/>
      <c r="E94" s="162"/>
      <c r="F94" s="162"/>
      <c r="G94" s="481"/>
    </row>
    <row r="95" spans="1:11" ht="19.5" thickBot="1" x14ac:dyDescent="0.35">
      <c r="B95" s="522" t="s">
        <v>601</v>
      </c>
      <c r="C95" s="487"/>
      <c r="D95" s="487"/>
      <c r="E95" s="487"/>
      <c r="F95" s="487"/>
      <c r="G95" s="507"/>
    </row>
    <row r="96" spans="1:11" x14ac:dyDescent="0.3">
      <c r="A96" s="499"/>
      <c r="B96" s="508" t="s">
        <v>587</v>
      </c>
      <c r="C96" s="509" t="s">
        <v>588</v>
      </c>
      <c r="D96" s="509" t="s">
        <v>589</v>
      </c>
      <c r="E96" s="509" t="s">
        <v>591</v>
      </c>
      <c r="F96" s="509" t="s">
        <v>590</v>
      </c>
      <c r="G96" s="509" t="s">
        <v>592</v>
      </c>
      <c r="H96" s="501" t="s">
        <v>593</v>
      </c>
      <c r="I96" s="501" t="s">
        <v>595</v>
      </c>
      <c r="J96" s="501" t="s">
        <v>594</v>
      </c>
      <c r="K96" s="502"/>
    </row>
    <row r="97" spans="1:11" x14ac:dyDescent="0.3">
      <c r="A97" s="503">
        <v>1</v>
      </c>
      <c r="B97" s="476" t="s">
        <v>102</v>
      </c>
      <c r="C97" s="510">
        <v>0.48</v>
      </c>
      <c r="D97" s="472">
        <v>0.48</v>
      </c>
      <c r="E97" s="472">
        <v>0.48</v>
      </c>
      <c r="F97" s="472">
        <v>0.48</v>
      </c>
      <c r="G97" s="524">
        <v>0.5</v>
      </c>
      <c r="H97" s="581">
        <v>0.5</v>
      </c>
      <c r="I97" s="472"/>
      <c r="J97" s="472"/>
      <c r="K97" s="511"/>
    </row>
    <row r="98" spans="1:11" x14ac:dyDescent="0.3">
      <c r="A98" s="504">
        <v>2</v>
      </c>
      <c r="B98" s="477" t="s">
        <v>121</v>
      </c>
      <c r="C98" s="512">
        <v>0.48</v>
      </c>
      <c r="D98" s="472">
        <v>0.47</v>
      </c>
      <c r="E98" s="472">
        <v>0.47</v>
      </c>
      <c r="F98" s="472">
        <v>0.48</v>
      </c>
      <c r="G98" s="523">
        <v>0.5</v>
      </c>
      <c r="H98" s="582">
        <v>0.5</v>
      </c>
      <c r="I98" s="472"/>
      <c r="J98" s="472"/>
      <c r="K98" s="511"/>
    </row>
    <row r="99" spans="1:11" x14ac:dyDescent="0.3">
      <c r="A99" s="503">
        <v>3</v>
      </c>
      <c r="B99" s="476" t="s">
        <v>120</v>
      </c>
      <c r="C99" s="510">
        <v>0.49</v>
      </c>
      <c r="D99" s="472">
        <v>0.49</v>
      </c>
      <c r="E99" s="472">
        <v>0.5</v>
      </c>
      <c r="F99" s="472">
        <v>0.52</v>
      </c>
      <c r="G99" s="524">
        <v>0.54</v>
      </c>
      <c r="H99" s="583">
        <v>0.55000000000000004</v>
      </c>
      <c r="I99" s="472"/>
      <c r="J99" s="472"/>
      <c r="K99" s="511"/>
    </row>
    <row r="100" spans="1:11" x14ac:dyDescent="0.3">
      <c r="A100" s="504">
        <v>4</v>
      </c>
      <c r="B100" s="477" t="s">
        <v>123</v>
      </c>
      <c r="C100" s="512">
        <v>0.45</v>
      </c>
      <c r="D100" s="472">
        <v>0.45</v>
      </c>
      <c r="E100" s="472">
        <v>0.45</v>
      </c>
      <c r="F100" s="472">
        <v>0.46</v>
      </c>
      <c r="G100" s="523">
        <v>0.48</v>
      </c>
      <c r="H100" s="582">
        <v>0.49</v>
      </c>
      <c r="I100" s="472"/>
      <c r="J100" s="472"/>
      <c r="K100" s="511"/>
    </row>
    <row r="101" spans="1:11" x14ac:dyDescent="0.3">
      <c r="A101" s="503">
        <v>5</v>
      </c>
      <c r="B101" s="476" t="s">
        <v>122</v>
      </c>
      <c r="C101" s="510">
        <v>0.41</v>
      </c>
      <c r="D101" s="472">
        <v>0.42</v>
      </c>
      <c r="E101" s="472">
        <v>0.43</v>
      </c>
      <c r="F101" s="472">
        <v>0.44</v>
      </c>
      <c r="G101" s="524">
        <v>0.47</v>
      </c>
      <c r="H101" s="583">
        <v>0.48</v>
      </c>
      <c r="I101" s="472"/>
      <c r="J101" s="472"/>
      <c r="K101" s="511"/>
    </row>
    <row r="102" spans="1:11" x14ac:dyDescent="0.3">
      <c r="A102" s="504">
        <v>6</v>
      </c>
      <c r="B102" s="477" t="s">
        <v>127</v>
      </c>
      <c r="C102" s="512">
        <v>0.44</v>
      </c>
      <c r="D102" s="472">
        <v>0.44</v>
      </c>
      <c r="E102" s="472">
        <v>0.44</v>
      </c>
      <c r="F102" s="472">
        <v>0.43</v>
      </c>
      <c r="G102" s="523">
        <v>0.45</v>
      </c>
      <c r="H102" s="582">
        <v>0.44</v>
      </c>
      <c r="I102" s="472"/>
      <c r="J102" s="472"/>
      <c r="K102" s="511"/>
    </row>
    <row r="103" spans="1:11" x14ac:dyDescent="0.3">
      <c r="A103" s="503">
        <v>7</v>
      </c>
      <c r="B103" s="476" t="s">
        <v>125</v>
      </c>
      <c r="C103" s="510">
        <v>0.46</v>
      </c>
      <c r="D103" s="472">
        <v>0.46</v>
      </c>
      <c r="E103" s="472">
        <v>0.46</v>
      </c>
      <c r="F103" s="472">
        <v>0.47</v>
      </c>
      <c r="G103" s="524">
        <v>0.49</v>
      </c>
      <c r="H103" s="583">
        <v>0.5</v>
      </c>
      <c r="I103" s="472"/>
      <c r="J103" s="472"/>
      <c r="K103" s="511"/>
    </row>
    <row r="104" spans="1:11" x14ac:dyDescent="0.3">
      <c r="A104" s="504">
        <v>8</v>
      </c>
      <c r="B104" s="477" t="s">
        <v>119</v>
      </c>
      <c r="C104" s="512">
        <v>0.66</v>
      </c>
      <c r="D104" s="472">
        <v>0.66</v>
      </c>
      <c r="E104" s="472">
        <v>0.65</v>
      </c>
      <c r="F104" s="472">
        <v>0.65</v>
      </c>
      <c r="G104" s="523">
        <v>0.66</v>
      </c>
      <c r="H104" s="582">
        <v>0.66</v>
      </c>
      <c r="I104" s="472"/>
      <c r="J104" s="472"/>
      <c r="K104" s="511"/>
    </row>
    <row r="105" spans="1:11" x14ac:dyDescent="0.3">
      <c r="A105" s="503">
        <v>9</v>
      </c>
      <c r="B105" s="476" t="s">
        <v>124</v>
      </c>
      <c r="C105" s="510">
        <v>0.61</v>
      </c>
      <c r="D105" s="472">
        <v>0.6</v>
      </c>
      <c r="E105" s="472">
        <v>0.6</v>
      </c>
      <c r="F105" s="472">
        <v>0.6</v>
      </c>
      <c r="G105" s="524">
        <v>0.61</v>
      </c>
      <c r="H105" s="583">
        <v>0.61</v>
      </c>
      <c r="I105" s="472"/>
      <c r="J105" s="472"/>
      <c r="K105" s="511"/>
    </row>
    <row r="106" spans="1:11" x14ac:dyDescent="0.3">
      <c r="A106" s="504">
        <v>10</v>
      </c>
      <c r="B106" s="477" t="s">
        <v>118</v>
      </c>
      <c r="C106" s="512">
        <v>0.54</v>
      </c>
      <c r="D106" s="472">
        <v>0.55000000000000004</v>
      </c>
      <c r="E106" s="472">
        <v>0.54</v>
      </c>
      <c r="F106" s="472">
        <v>0.55000000000000004</v>
      </c>
      <c r="G106" s="523">
        <v>0.56000000000000005</v>
      </c>
      <c r="H106" s="582">
        <v>0.55000000000000004</v>
      </c>
      <c r="I106" s="472"/>
      <c r="J106" s="472"/>
      <c r="K106" s="511"/>
    </row>
    <row r="107" spans="1:11" x14ac:dyDescent="0.3">
      <c r="A107" s="503">
        <v>11</v>
      </c>
      <c r="B107" s="476" t="s">
        <v>117</v>
      </c>
      <c r="C107" s="510">
        <v>0.63</v>
      </c>
      <c r="D107" s="472">
        <v>0.62</v>
      </c>
      <c r="E107" s="472">
        <v>0.62</v>
      </c>
      <c r="F107" s="472">
        <v>0.63</v>
      </c>
      <c r="G107" s="525">
        <v>0.64</v>
      </c>
      <c r="H107" s="583">
        <v>0.64</v>
      </c>
      <c r="I107" s="472"/>
      <c r="J107" s="472"/>
      <c r="K107" s="511"/>
    </row>
    <row r="108" spans="1:11" ht="19.5" thickBot="1" x14ac:dyDescent="0.35">
      <c r="A108" s="505">
        <v>12</v>
      </c>
      <c r="B108" s="506" t="s">
        <v>126</v>
      </c>
      <c r="C108" s="513">
        <v>0.46</v>
      </c>
      <c r="D108" s="514">
        <v>0.47</v>
      </c>
      <c r="E108" s="514">
        <v>0.47</v>
      </c>
      <c r="F108" s="514">
        <v>0.48</v>
      </c>
      <c r="G108" s="523">
        <v>0.5</v>
      </c>
      <c r="H108" s="584">
        <v>0.5</v>
      </c>
      <c r="I108" s="514"/>
      <c r="J108" s="514"/>
      <c r="K108" s="515"/>
    </row>
    <row r="110" spans="1:11" x14ac:dyDescent="0.3">
      <c r="A110" s="162"/>
      <c r="B110" s="496" t="s">
        <v>596</v>
      </c>
      <c r="C110" s="162" t="s">
        <v>588</v>
      </c>
      <c r="D110" s="162" t="s">
        <v>589</v>
      </c>
      <c r="E110" s="162" t="s">
        <v>591</v>
      </c>
      <c r="F110" s="162" t="s">
        <v>590</v>
      </c>
      <c r="G110" s="162" t="s">
        <v>592</v>
      </c>
      <c r="H110" s="162" t="s">
        <v>593</v>
      </c>
      <c r="I110" s="162" t="s">
        <v>595</v>
      </c>
      <c r="J110" s="162" t="s">
        <v>594</v>
      </c>
      <c r="K110" s="162"/>
    </row>
    <row r="111" spans="1:11" x14ac:dyDescent="0.3">
      <c r="A111" s="497">
        <v>1</v>
      </c>
      <c r="B111" s="476" t="s">
        <v>102</v>
      </c>
      <c r="C111" s="510">
        <v>0.76</v>
      </c>
      <c r="D111" s="472">
        <v>0.76</v>
      </c>
      <c r="E111" s="472">
        <v>0.77</v>
      </c>
      <c r="F111" s="472">
        <v>0.77</v>
      </c>
      <c r="G111" s="524">
        <v>0.78</v>
      </c>
      <c r="H111" s="581">
        <v>0.78</v>
      </c>
      <c r="I111" s="472"/>
      <c r="J111" s="472"/>
      <c r="K111" s="472"/>
    </row>
    <row r="112" spans="1:11" x14ac:dyDescent="0.3">
      <c r="A112" s="498">
        <v>2</v>
      </c>
      <c r="B112" s="477" t="s">
        <v>121</v>
      </c>
      <c r="C112" s="512">
        <v>0.74</v>
      </c>
      <c r="D112" s="472">
        <v>0.75</v>
      </c>
      <c r="E112" s="472">
        <v>0.76</v>
      </c>
      <c r="F112" s="472">
        <v>0.76</v>
      </c>
      <c r="G112" s="523">
        <v>0.78</v>
      </c>
      <c r="H112" s="582">
        <v>0.77</v>
      </c>
      <c r="I112" s="472"/>
      <c r="J112" s="472"/>
      <c r="K112" s="472"/>
    </row>
    <row r="113" spans="1:11" x14ac:dyDescent="0.3">
      <c r="A113" s="497">
        <v>3</v>
      </c>
      <c r="B113" s="476" t="s">
        <v>120</v>
      </c>
      <c r="C113" s="510">
        <v>0.75</v>
      </c>
      <c r="D113" s="472">
        <v>0.75</v>
      </c>
      <c r="E113" s="472">
        <v>0.77</v>
      </c>
      <c r="F113" s="472">
        <v>0.78</v>
      </c>
      <c r="G113" s="524">
        <v>0.79</v>
      </c>
      <c r="H113" s="583">
        <v>0.79</v>
      </c>
      <c r="I113" s="472"/>
      <c r="J113" s="472"/>
      <c r="K113" s="472"/>
    </row>
    <row r="114" spans="1:11" x14ac:dyDescent="0.3">
      <c r="A114" s="498">
        <v>4</v>
      </c>
      <c r="B114" s="477" t="s">
        <v>123</v>
      </c>
      <c r="C114" s="512">
        <v>0.76</v>
      </c>
      <c r="D114" s="472">
        <v>0.75</v>
      </c>
      <c r="E114" s="472">
        <v>0.77</v>
      </c>
      <c r="F114" s="472">
        <v>0.78</v>
      </c>
      <c r="G114" s="523">
        <v>0.79</v>
      </c>
      <c r="H114" s="582">
        <v>0.8</v>
      </c>
      <c r="I114" s="472"/>
      <c r="J114" s="472"/>
      <c r="K114" s="472"/>
    </row>
    <row r="115" spans="1:11" x14ac:dyDescent="0.3">
      <c r="A115" s="497">
        <v>5</v>
      </c>
      <c r="B115" s="476" t="s">
        <v>122</v>
      </c>
      <c r="C115" s="510">
        <v>0.76</v>
      </c>
      <c r="D115" s="472">
        <v>0.77</v>
      </c>
      <c r="E115" s="472">
        <v>0.78</v>
      </c>
      <c r="F115" s="472">
        <v>0.79</v>
      </c>
      <c r="G115" s="524">
        <v>0.79</v>
      </c>
      <c r="H115" s="583">
        <v>0.8</v>
      </c>
      <c r="I115" s="472"/>
      <c r="J115" s="472"/>
      <c r="K115" s="472"/>
    </row>
    <row r="116" spans="1:11" x14ac:dyDescent="0.3">
      <c r="A116" s="498">
        <v>6</v>
      </c>
      <c r="B116" s="477" t="s">
        <v>127</v>
      </c>
      <c r="C116" s="512">
        <v>0.72</v>
      </c>
      <c r="D116" s="472">
        <v>0.73</v>
      </c>
      <c r="E116" s="472">
        <v>0.73</v>
      </c>
      <c r="F116" s="472">
        <v>0.74</v>
      </c>
      <c r="G116" s="523">
        <v>0.76</v>
      </c>
      <c r="H116" s="582">
        <v>0.77</v>
      </c>
      <c r="I116" s="472"/>
      <c r="J116" s="472"/>
      <c r="K116" s="472"/>
    </row>
    <row r="117" spans="1:11" x14ac:dyDescent="0.3">
      <c r="A117" s="497">
        <v>7</v>
      </c>
      <c r="B117" s="476" t="s">
        <v>125</v>
      </c>
      <c r="C117" s="510">
        <v>0.76</v>
      </c>
      <c r="D117" s="472">
        <v>0.76</v>
      </c>
      <c r="E117" s="472">
        <v>0.77</v>
      </c>
      <c r="F117" s="472">
        <v>0.78</v>
      </c>
      <c r="G117" s="524">
        <v>0.8</v>
      </c>
      <c r="H117" s="583">
        <v>0.8</v>
      </c>
      <c r="I117" s="472"/>
      <c r="J117" s="472"/>
      <c r="K117" s="472"/>
    </row>
    <row r="118" spans="1:11" x14ac:dyDescent="0.3">
      <c r="A118" s="498">
        <v>8</v>
      </c>
      <c r="B118" s="477" t="s">
        <v>119</v>
      </c>
      <c r="C118" s="512">
        <v>0.75</v>
      </c>
      <c r="D118" s="472">
        <v>0.74</v>
      </c>
      <c r="E118" s="472">
        <v>0.75</v>
      </c>
      <c r="F118" s="472">
        <v>0.75</v>
      </c>
      <c r="G118" s="523">
        <v>0.77</v>
      </c>
      <c r="H118" s="582">
        <v>0.77</v>
      </c>
      <c r="I118" s="472"/>
      <c r="J118" s="472"/>
      <c r="K118" s="472"/>
    </row>
    <row r="119" spans="1:11" x14ac:dyDescent="0.3">
      <c r="A119" s="497">
        <v>9</v>
      </c>
      <c r="B119" s="476" t="s">
        <v>124</v>
      </c>
      <c r="C119" s="510">
        <v>0.76</v>
      </c>
      <c r="D119" s="472">
        <v>0.75</v>
      </c>
      <c r="E119" s="472">
        <v>0.76</v>
      </c>
      <c r="F119" s="472">
        <v>0.76</v>
      </c>
      <c r="G119" s="524">
        <v>0.77</v>
      </c>
      <c r="H119" s="583">
        <v>0.77</v>
      </c>
      <c r="I119" s="472"/>
      <c r="J119" s="472"/>
      <c r="K119" s="472"/>
    </row>
    <row r="120" spans="1:11" x14ac:dyDescent="0.3">
      <c r="A120" s="498">
        <v>10</v>
      </c>
      <c r="B120" s="477" t="s">
        <v>118</v>
      </c>
      <c r="C120" s="512">
        <v>0.76</v>
      </c>
      <c r="D120" s="472">
        <v>0.77</v>
      </c>
      <c r="E120" s="472">
        <v>0.78</v>
      </c>
      <c r="F120" s="472">
        <v>0.78</v>
      </c>
      <c r="G120" s="523">
        <v>0.78</v>
      </c>
      <c r="H120" s="582">
        <v>0.78</v>
      </c>
      <c r="I120" s="472"/>
      <c r="J120" s="472"/>
      <c r="K120" s="472"/>
    </row>
    <row r="121" spans="1:11" x14ac:dyDescent="0.3">
      <c r="A121" s="497">
        <v>11</v>
      </c>
      <c r="B121" s="476" t="s">
        <v>117</v>
      </c>
      <c r="C121" s="510">
        <v>0.77</v>
      </c>
      <c r="D121" s="472">
        <v>0.78</v>
      </c>
      <c r="E121" s="472">
        <v>0.78</v>
      </c>
      <c r="F121" s="472">
        <v>0.79</v>
      </c>
      <c r="G121" s="525">
        <v>0.8</v>
      </c>
      <c r="H121" s="583">
        <v>0.79</v>
      </c>
      <c r="I121" s="472"/>
      <c r="J121" s="472"/>
      <c r="K121" s="472"/>
    </row>
    <row r="122" spans="1:11" x14ac:dyDescent="0.3">
      <c r="A122" s="498">
        <v>12</v>
      </c>
      <c r="B122" s="477" t="s">
        <v>126</v>
      </c>
      <c r="C122" s="512">
        <v>0.75</v>
      </c>
      <c r="D122" s="472">
        <v>0.75</v>
      </c>
      <c r="E122" s="472">
        <v>0.77</v>
      </c>
      <c r="F122" s="472">
        <v>0.78</v>
      </c>
      <c r="G122" s="523">
        <v>0.78</v>
      </c>
      <c r="H122" s="584">
        <v>0.79</v>
      </c>
      <c r="I122" s="472"/>
      <c r="J122" s="472"/>
      <c r="K122" s="472"/>
    </row>
    <row r="123" spans="1:11" ht="19.5" thickBot="1" x14ac:dyDescent="0.35"/>
    <row r="124" spans="1:11" x14ac:dyDescent="0.3">
      <c r="A124" s="499"/>
      <c r="B124" s="500" t="s">
        <v>602</v>
      </c>
      <c r="C124" s="501" t="s">
        <v>588</v>
      </c>
      <c r="D124" s="501" t="s">
        <v>589</v>
      </c>
      <c r="E124" s="501" t="s">
        <v>591</v>
      </c>
      <c r="F124" s="501" t="s">
        <v>590</v>
      </c>
      <c r="G124" s="501" t="s">
        <v>592</v>
      </c>
      <c r="H124" s="501" t="s">
        <v>593</v>
      </c>
      <c r="I124" s="501" t="s">
        <v>595</v>
      </c>
      <c r="J124" s="501" t="s">
        <v>594</v>
      </c>
      <c r="K124" s="502"/>
    </row>
    <row r="125" spans="1:11" x14ac:dyDescent="0.3">
      <c r="A125" s="503">
        <v>1</v>
      </c>
      <c r="B125" s="476" t="s">
        <v>102</v>
      </c>
      <c r="C125" s="593">
        <v>13889</v>
      </c>
      <c r="D125" s="594">
        <v>13691</v>
      </c>
      <c r="E125" s="594">
        <v>13746</v>
      </c>
      <c r="F125" s="594">
        <v>13805</v>
      </c>
      <c r="G125" s="526">
        <v>13703</v>
      </c>
      <c r="H125" s="585">
        <v>13751</v>
      </c>
      <c r="I125" s="516"/>
      <c r="J125" s="516"/>
      <c r="K125" s="517"/>
    </row>
    <row r="126" spans="1:11" x14ac:dyDescent="0.3">
      <c r="A126" s="504">
        <v>2</v>
      </c>
      <c r="B126" s="477" t="s">
        <v>121</v>
      </c>
      <c r="C126" s="595">
        <v>12944</v>
      </c>
      <c r="D126" s="594">
        <v>13130</v>
      </c>
      <c r="E126" s="594">
        <v>13214</v>
      </c>
      <c r="F126" s="594">
        <v>13122</v>
      </c>
      <c r="G126" s="527">
        <v>13253</v>
      </c>
      <c r="H126" s="586">
        <v>13130</v>
      </c>
      <c r="I126" s="516"/>
      <c r="J126" s="516"/>
      <c r="K126" s="517"/>
    </row>
    <row r="127" spans="1:11" x14ac:dyDescent="0.3">
      <c r="A127" s="503">
        <v>3</v>
      </c>
      <c r="B127" s="476" t="s">
        <v>120</v>
      </c>
      <c r="C127" s="593">
        <v>13339</v>
      </c>
      <c r="D127" s="594">
        <v>13346</v>
      </c>
      <c r="E127" s="594">
        <v>13396</v>
      </c>
      <c r="F127" s="594">
        <v>13806</v>
      </c>
      <c r="G127" s="526">
        <v>14086</v>
      </c>
      <c r="H127" s="587">
        <v>14338</v>
      </c>
      <c r="I127" s="516"/>
      <c r="J127" s="516"/>
      <c r="K127" s="517"/>
    </row>
    <row r="128" spans="1:11" x14ac:dyDescent="0.3">
      <c r="A128" s="504">
        <v>4</v>
      </c>
      <c r="B128" s="477" t="s">
        <v>123</v>
      </c>
      <c r="C128" s="595">
        <v>15981</v>
      </c>
      <c r="D128" s="594">
        <v>15815</v>
      </c>
      <c r="E128" s="594">
        <v>16015</v>
      </c>
      <c r="F128" s="594">
        <v>16175</v>
      </c>
      <c r="G128" s="527">
        <v>16254</v>
      </c>
      <c r="H128" s="586">
        <v>16196</v>
      </c>
      <c r="I128" s="516"/>
      <c r="J128" s="516"/>
      <c r="K128" s="517"/>
    </row>
    <row r="129" spans="1:11" x14ac:dyDescent="0.3">
      <c r="A129" s="503">
        <v>5</v>
      </c>
      <c r="B129" s="476" t="s">
        <v>122</v>
      </c>
      <c r="C129" s="593">
        <v>18245</v>
      </c>
      <c r="D129" s="594">
        <v>18284</v>
      </c>
      <c r="E129" s="594">
        <v>18497</v>
      </c>
      <c r="F129" s="594">
        <v>18478</v>
      </c>
      <c r="G129" s="526">
        <v>18020</v>
      </c>
      <c r="H129" s="587">
        <v>18078</v>
      </c>
      <c r="I129" s="516"/>
      <c r="J129" s="516"/>
      <c r="K129" s="517"/>
    </row>
    <row r="130" spans="1:11" x14ac:dyDescent="0.3">
      <c r="A130" s="504">
        <v>6</v>
      </c>
      <c r="B130" s="477" t="s">
        <v>127</v>
      </c>
      <c r="C130" s="595">
        <v>14209</v>
      </c>
      <c r="D130" s="594">
        <v>14254</v>
      </c>
      <c r="E130" s="594">
        <v>14073</v>
      </c>
      <c r="F130" s="594">
        <v>14169</v>
      </c>
      <c r="G130" s="527">
        <v>14233</v>
      </c>
      <c r="H130" s="586">
        <v>14299</v>
      </c>
      <c r="I130" s="516"/>
      <c r="J130" s="516"/>
      <c r="K130" s="517"/>
    </row>
    <row r="131" spans="1:11" x14ac:dyDescent="0.3">
      <c r="A131" s="503">
        <v>7</v>
      </c>
      <c r="B131" s="476" t="s">
        <v>125</v>
      </c>
      <c r="C131" s="593">
        <v>13792</v>
      </c>
      <c r="D131" s="594">
        <v>13802</v>
      </c>
      <c r="E131" s="594">
        <v>13976</v>
      </c>
      <c r="F131" s="594">
        <v>13927</v>
      </c>
      <c r="G131" s="526">
        <v>14020</v>
      </c>
      <c r="H131" s="587">
        <v>14150</v>
      </c>
      <c r="I131" s="516"/>
      <c r="J131" s="516"/>
      <c r="K131" s="517"/>
    </row>
    <row r="132" spans="1:11" x14ac:dyDescent="0.3">
      <c r="A132" s="504">
        <v>8</v>
      </c>
      <c r="B132" s="477" t="s">
        <v>119</v>
      </c>
      <c r="C132" s="595">
        <v>12823</v>
      </c>
      <c r="D132" s="594">
        <v>12843</v>
      </c>
      <c r="E132" s="594">
        <v>12784</v>
      </c>
      <c r="F132" s="594">
        <v>12808</v>
      </c>
      <c r="G132" s="527">
        <v>12992</v>
      </c>
      <c r="H132" s="586">
        <v>12949</v>
      </c>
      <c r="I132" s="516"/>
      <c r="J132" s="516"/>
      <c r="K132" s="517"/>
    </row>
    <row r="133" spans="1:11" x14ac:dyDescent="0.3">
      <c r="A133" s="503">
        <v>9</v>
      </c>
      <c r="B133" s="476" t="s">
        <v>124</v>
      </c>
      <c r="C133" s="593">
        <v>11070</v>
      </c>
      <c r="D133" s="594">
        <v>11137</v>
      </c>
      <c r="E133" s="594">
        <v>11160</v>
      </c>
      <c r="F133" s="594">
        <v>11187</v>
      </c>
      <c r="G133" s="526">
        <v>11452</v>
      </c>
      <c r="H133" s="587">
        <v>11496</v>
      </c>
      <c r="I133" s="516"/>
      <c r="J133" s="516"/>
      <c r="K133" s="517"/>
    </row>
    <row r="134" spans="1:11" x14ac:dyDescent="0.3">
      <c r="A134" s="504">
        <v>10</v>
      </c>
      <c r="B134" s="477" t="s">
        <v>118</v>
      </c>
      <c r="C134" s="595">
        <v>12003</v>
      </c>
      <c r="D134" s="594">
        <v>12242</v>
      </c>
      <c r="E134" s="594">
        <v>12487</v>
      </c>
      <c r="F134" s="594">
        <v>12539</v>
      </c>
      <c r="G134" s="527">
        <v>12443</v>
      </c>
      <c r="H134" s="586">
        <v>12506</v>
      </c>
      <c r="I134" s="516"/>
      <c r="J134" s="516"/>
      <c r="K134" s="517"/>
    </row>
    <row r="135" spans="1:11" x14ac:dyDescent="0.3">
      <c r="A135" s="503">
        <v>11</v>
      </c>
      <c r="B135" s="476" t="s">
        <v>117</v>
      </c>
      <c r="C135" s="593">
        <v>14098</v>
      </c>
      <c r="D135" s="594">
        <v>14522</v>
      </c>
      <c r="E135" s="594">
        <v>14597</v>
      </c>
      <c r="F135" s="594">
        <v>14197</v>
      </c>
      <c r="G135" s="528">
        <v>14115</v>
      </c>
      <c r="H135" s="587">
        <v>13904</v>
      </c>
      <c r="I135" s="516"/>
      <c r="J135" s="516"/>
      <c r="K135" s="517"/>
    </row>
    <row r="136" spans="1:11" ht="19.5" thickBot="1" x14ac:dyDescent="0.35">
      <c r="A136" s="505">
        <v>12</v>
      </c>
      <c r="B136" s="506" t="s">
        <v>126</v>
      </c>
      <c r="C136" s="596">
        <v>12099</v>
      </c>
      <c r="D136" s="597">
        <v>12010</v>
      </c>
      <c r="E136" s="597">
        <v>12142</v>
      </c>
      <c r="F136" s="597">
        <v>12311</v>
      </c>
      <c r="G136" s="527">
        <v>12335</v>
      </c>
      <c r="H136" s="588">
        <v>12544</v>
      </c>
      <c r="I136" s="518"/>
      <c r="J136" s="518"/>
      <c r="K136" s="519"/>
    </row>
    <row r="138" spans="1:11" ht="19.5" thickBot="1" x14ac:dyDescent="0.35">
      <c r="A138" s="473" t="s">
        <v>603</v>
      </c>
      <c r="C138" s="529">
        <v>3</v>
      </c>
      <c r="D138" s="530">
        <v>4</v>
      </c>
      <c r="E138" s="530">
        <v>5</v>
      </c>
      <c r="F138" s="530">
        <v>6</v>
      </c>
      <c r="G138" s="530">
        <v>7</v>
      </c>
      <c r="H138" s="530">
        <v>8</v>
      </c>
      <c r="I138" s="530">
        <v>9</v>
      </c>
      <c r="J138" s="530">
        <v>10</v>
      </c>
      <c r="K138" s="530">
        <v>11</v>
      </c>
    </row>
    <row r="139" spans="1:11" ht="19.5" thickBot="1" x14ac:dyDescent="0.35">
      <c r="C139" s="532" t="s">
        <v>432</v>
      </c>
      <c r="D139" s="532" t="s">
        <v>433</v>
      </c>
      <c r="E139" s="532" t="s">
        <v>434</v>
      </c>
      <c r="F139" s="532" t="s">
        <v>435</v>
      </c>
      <c r="G139" s="532" t="s">
        <v>436</v>
      </c>
      <c r="H139" s="532" t="s">
        <v>437</v>
      </c>
      <c r="I139" s="532" t="s">
        <v>438</v>
      </c>
      <c r="J139" s="532" t="s">
        <v>439</v>
      </c>
      <c r="K139" s="531" t="s">
        <v>440</v>
      </c>
    </row>
    <row r="140" spans="1:11" x14ac:dyDescent="0.3">
      <c r="A140" s="533">
        <f>'Area Data'!A1</f>
        <v>1</v>
      </c>
      <c r="B140" s="534" t="s">
        <v>1</v>
      </c>
      <c r="C140" s="535">
        <f t="shared" ref="C140:K140" si="0">VLOOKUP($A$140,$A$97:$K$108,C138,)</f>
        <v>0.48</v>
      </c>
      <c r="D140" s="535">
        <f t="shared" si="0"/>
        <v>0.48</v>
      </c>
      <c r="E140" s="535">
        <f t="shared" si="0"/>
        <v>0.48</v>
      </c>
      <c r="F140" s="535">
        <f t="shared" si="0"/>
        <v>0.48</v>
      </c>
      <c r="G140" s="535">
        <f t="shared" si="0"/>
        <v>0.5</v>
      </c>
      <c r="H140" s="535">
        <f t="shared" si="0"/>
        <v>0.5</v>
      </c>
      <c r="I140" s="535">
        <f t="shared" si="0"/>
        <v>0</v>
      </c>
      <c r="J140" s="535">
        <f t="shared" si="0"/>
        <v>0</v>
      </c>
      <c r="K140" s="536">
        <f t="shared" si="0"/>
        <v>0</v>
      </c>
    </row>
    <row r="141" spans="1:11" x14ac:dyDescent="0.3">
      <c r="A141" s="484"/>
      <c r="B141" s="162" t="s">
        <v>2</v>
      </c>
      <c r="C141" s="472">
        <f t="shared" ref="C141:K141" si="1">VLOOKUP($A$140,$A$111:$K$122,C138,)</f>
        <v>0.76</v>
      </c>
      <c r="D141" s="472">
        <f t="shared" si="1"/>
        <v>0.76</v>
      </c>
      <c r="E141" s="472">
        <f t="shared" si="1"/>
        <v>0.77</v>
      </c>
      <c r="F141" s="472">
        <f t="shared" si="1"/>
        <v>0.77</v>
      </c>
      <c r="G141" s="472">
        <f t="shared" si="1"/>
        <v>0.78</v>
      </c>
      <c r="H141" s="472">
        <f t="shared" si="1"/>
        <v>0.78</v>
      </c>
      <c r="I141" s="472">
        <f t="shared" si="1"/>
        <v>0</v>
      </c>
      <c r="J141" s="472">
        <f t="shared" si="1"/>
        <v>0</v>
      </c>
      <c r="K141" s="511">
        <f t="shared" si="1"/>
        <v>0</v>
      </c>
    </row>
    <row r="142" spans="1:11" ht="19.5" thickBot="1" x14ac:dyDescent="0.35">
      <c r="A142" s="486"/>
      <c r="B142" s="487" t="s">
        <v>3</v>
      </c>
      <c r="C142" s="518">
        <f t="shared" ref="C142:K142" si="2">VLOOKUP($A$140,$A$125:$H$136,C138,)</f>
        <v>13889</v>
      </c>
      <c r="D142" s="518">
        <f t="shared" si="2"/>
        <v>13691</v>
      </c>
      <c r="E142" s="518">
        <f t="shared" si="2"/>
        <v>13746</v>
      </c>
      <c r="F142" s="518">
        <f t="shared" si="2"/>
        <v>13805</v>
      </c>
      <c r="G142" s="518">
        <f t="shared" si="2"/>
        <v>13703</v>
      </c>
      <c r="H142" s="518">
        <f t="shared" si="2"/>
        <v>13751</v>
      </c>
      <c r="I142" s="518" t="e">
        <f t="shared" si="2"/>
        <v>#REF!</v>
      </c>
      <c r="J142" s="518" t="e">
        <f t="shared" si="2"/>
        <v>#REF!</v>
      </c>
      <c r="K142" s="519" t="e">
        <f t="shared" si="2"/>
        <v>#REF!</v>
      </c>
    </row>
  </sheetData>
  <sortState ref="A19:A31">
    <sortCondition ref="A19"/>
  </sortState>
  <mergeCells count="3">
    <mergeCell ref="C1:K1"/>
    <mergeCell ref="C17:K17"/>
    <mergeCell ref="B32:F32"/>
  </mergeCell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3:CC18"/>
  <sheetViews>
    <sheetView workbookViewId="0">
      <selection activeCell="F21" sqref="F21"/>
    </sheetView>
  </sheetViews>
  <sheetFormatPr defaultRowHeight="18.75" x14ac:dyDescent="0.3"/>
  <cols>
    <col min="1" max="1" width="11.796875" bestFit="1" customWidth="1"/>
    <col min="2" max="2" width="14.296875" bestFit="1" customWidth="1"/>
    <col min="3" max="3" width="15.3984375" bestFit="1" customWidth="1"/>
    <col min="4" max="4" width="17.296875" bestFit="1" customWidth="1"/>
    <col min="5" max="5" width="24.3984375" customWidth="1"/>
    <col min="6" max="6" width="14.09765625" customWidth="1"/>
    <col min="7" max="7" width="15.3984375" customWidth="1"/>
    <col min="8" max="8" width="17.296875" bestFit="1" customWidth="1"/>
    <col min="9" max="9" width="24.3984375" bestFit="1" customWidth="1"/>
    <col min="10" max="10" width="14.09765625" customWidth="1"/>
    <col min="11" max="11" width="15.3984375" customWidth="1"/>
    <col min="12" max="12" width="17.296875" bestFit="1" customWidth="1"/>
    <col min="13" max="13" width="24.3984375" bestFit="1" customWidth="1"/>
    <col min="14" max="14" width="14.09765625" bestFit="1" customWidth="1"/>
    <col min="15" max="15" width="15.3984375" bestFit="1" customWidth="1"/>
    <col min="16" max="16" width="17.296875" bestFit="1" customWidth="1"/>
    <col min="17" max="17" width="24.3984375" customWidth="1"/>
    <col min="18" max="18" width="14.09765625" customWidth="1"/>
    <col min="19" max="19" width="15.3984375" customWidth="1"/>
    <col min="20" max="20" width="17.296875" bestFit="1" customWidth="1"/>
    <col min="21" max="21" width="24.3984375" bestFit="1" customWidth="1"/>
    <col min="22" max="22" width="14.09765625" customWidth="1"/>
    <col min="23" max="23" width="15.3984375" customWidth="1"/>
    <col min="24" max="24" width="17.296875" bestFit="1" customWidth="1"/>
    <col min="25" max="25" width="24.3984375" bestFit="1" customWidth="1"/>
    <col min="26" max="26" width="14.09765625" bestFit="1" customWidth="1"/>
    <col min="27" max="27" width="15.3984375" bestFit="1" customWidth="1"/>
    <col min="28" max="28" width="17.296875" bestFit="1" customWidth="1"/>
    <col min="29" max="29" width="24.3984375" customWidth="1"/>
    <col min="30" max="30" width="14.09765625" customWidth="1"/>
    <col min="31" max="31" width="15.3984375" customWidth="1"/>
    <col min="32" max="32" width="17.296875" bestFit="1" customWidth="1"/>
    <col min="33" max="33" width="24.3984375" bestFit="1" customWidth="1"/>
    <col min="34" max="34" width="14.09765625" customWidth="1"/>
    <col min="35" max="35" width="15.3984375" customWidth="1"/>
    <col min="36" max="36" width="17.296875" bestFit="1" customWidth="1"/>
    <col min="37" max="37" width="24.3984375" bestFit="1" customWidth="1"/>
    <col min="38" max="38" width="14.09765625" bestFit="1" customWidth="1"/>
    <col min="39" max="39" width="15.3984375" bestFit="1" customWidth="1"/>
    <col min="40" max="40" width="17.296875" customWidth="1"/>
    <col min="41" max="41" width="24.3984375" customWidth="1"/>
    <col min="42" max="42" width="14.09765625" customWidth="1"/>
    <col min="43" max="43" width="15.3984375" customWidth="1"/>
    <col min="44" max="44" width="17.296875" bestFit="1" customWidth="1"/>
    <col min="45" max="45" width="24.3984375" bestFit="1" customWidth="1"/>
    <col min="46" max="46" width="14.09765625" customWidth="1"/>
    <col min="47" max="47" width="15.3984375" bestFit="1" customWidth="1"/>
    <col min="48" max="48" width="17.296875" bestFit="1" customWidth="1"/>
    <col min="49" max="49" width="24.3984375" bestFit="1" customWidth="1"/>
    <col min="50" max="50" width="14.09765625" bestFit="1" customWidth="1"/>
    <col min="51" max="51" width="15.3984375" bestFit="1" customWidth="1"/>
    <col min="52" max="52" width="17.296875" bestFit="1" customWidth="1"/>
    <col min="53" max="53" width="24.3984375" bestFit="1" customWidth="1"/>
    <col min="54" max="54" width="14.09765625" customWidth="1"/>
    <col min="55" max="55" width="15.3984375" customWidth="1"/>
    <col min="56" max="56" width="17.296875" bestFit="1" customWidth="1"/>
    <col min="57" max="57" width="24.3984375" bestFit="1" customWidth="1"/>
    <col min="58" max="58" width="14.09765625" customWidth="1"/>
    <col min="59" max="59" width="15.3984375" customWidth="1"/>
    <col min="60" max="60" width="17.296875" customWidth="1"/>
    <col min="61" max="61" width="24.3984375" bestFit="1" customWidth="1"/>
    <col min="62" max="62" width="14.09765625" bestFit="1" customWidth="1"/>
    <col min="63" max="63" width="15.3984375" bestFit="1" customWidth="1"/>
    <col min="64" max="64" width="17.296875" bestFit="1" customWidth="1"/>
    <col min="65" max="65" width="24.3984375" bestFit="1" customWidth="1"/>
    <col min="66" max="66" width="14.09765625" bestFit="1" customWidth="1"/>
    <col min="67" max="67" width="15.3984375" bestFit="1" customWidth="1"/>
    <col min="68" max="68" width="17.296875" bestFit="1" customWidth="1"/>
    <col min="69" max="69" width="24.3984375" bestFit="1" customWidth="1"/>
    <col min="70" max="70" width="14.09765625" bestFit="1" customWidth="1"/>
    <col min="71" max="71" width="15.3984375" bestFit="1" customWidth="1"/>
    <col min="72" max="72" width="17.296875" bestFit="1" customWidth="1"/>
    <col min="73" max="73" width="24.3984375" bestFit="1" customWidth="1"/>
    <col min="74" max="74" width="14.09765625" bestFit="1" customWidth="1"/>
    <col min="75" max="75" width="15.3984375" bestFit="1" customWidth="1"/>
    <col min="76" max="76" width="17.296875" bestFit="1" customWidth="1"/>
    <col min="77" max="77" width="24.3984375" bestFit="1" customWidth="1"/>
    <col min="78" max="78" width="18.59765625" bestFit="1" customWidth="1"/>
    <col min="79" max="79" width="19.8984375" bestFit="1" customWidth="1"/>
    <col min="80" max="80" width="21.796875" bestFit="1" customWidth="1"/>
    <col min="81" max="81" width="28.8984375" bestFit="1" customWidth="1"/>
  </cols>
  <sheetData>
    <row r="3" spans="1:81" x14ac:dyDescent="0.3">
      <c r="B3" s="188" t="s">
        <v>293</v>
      </c>
    </row>
    <row r="4" spans="1:81" x14ac:dyDescent="0.3">
      <c r="B4">
        <v>0</v>
      </c>
      <c r="F4">
        <v>1</v>
      </c>
      <c r="J4">
        <v>2</v>
      </c>
      <c r="N4">
        <v>3</v>
      </c>
      <c r="R4">
        <v>4</v>
      </c>
      <c r="V4">
        <v>5</v>
      </c>
      <c r="Z4">
        <v>6</v>
      </c>
      <c r="AD4">
        <v>7</v>
      </c>
      <c r="AH4">
        <v>8</v>
      </c>
      <c r="AL4">
        <v>9</v>
      </c>
      <c r="AP4">
        <v>10</v>
      </c>
      <c r="AT4">
        <v>11</v>
      </c>
      <c r="AX4">
        <v>12</v>
      </c>
      <c r="BB4">
        <v>13</v>
      </c>
      <c r="BF4">
        <v>14</v>
      </c>
      <c r="BJ4">
        <v>15</v>
      </c>
      <c r="BN4">
        <v>16</v>
      </c>
      <c r="BR4">
        <v>17</v>
      </c>
      <c r="BV4">
        <v>18</v>
      </c>
      <c r="BZ4" t="s">
        <v>295</v>
      </c>
      <c r="CA4" t="s">
        <v>296</v>
      </c>
      <c r="CB4" t="s">
        <v>297</v>
      </c>
      <c r="CC4" t="s">
        <v>298</v>
      </c>
    </row>
    <row r="5" spans="1:81" x14ac:dyDescent="0.3">
      <c r="A5" s="188" t="s">
        <v>181</v>
      </c>
      <c r="B5" t="s">
        <v>290</v>
      </c>
      <c r="C5" t="s">
        <v>291</v>
      </c>
      <c r="D5" t="s">
        <v>292</v>
      </c>
      <c r="E5" t="s">
        <v>294</v>
      </c>
      <c r="F5" t="s">
        <v>290</v>
      </c>
      <c r="G5" t="s">
        <v>291</v>
      </c>
      <c r="H5" t="s">
        <v>292</v>
      </c>
      <c r="I5" t="s">
        <v>294</v>
      </c>
      <c r="J5" t="s">
        <v>290</v>
      </c>
      <c r="K5" t="s">
        <v>291</v>
      </c>
      <c r="L5" t="s">
        <v>292</v>
      </c>
      <c r="M5" t="s">
        <v>294</v>
      </c>
      <c r="N5" t="s">
        <v>290</v>
      </c>
      <c r="O5" t="s">
        <v>291</v>
      </c>
      <c r="P5" t="s">
        <v>292</v>
      </c>
      <c r="Q5" t="s">
        <v>294</v>
      </c>
      <c r="R5" t="s">
        <v>290</v>
      </c>
      <c r="S5" t="s">
        <v>291</v>
      </c>
      <c r="T5" t="s">
        <v>292</v>
      </c>
      <c r="U5" t="s">
        <v>294</v>
      </c>
      <c r="V5" t="s">
        <v>290</v>
      </c>
      <c r="W5" t="s">
        <v>291</v>
      </c>
      <c r="X5" t="s">
        <v>292</v>
      </c>
      <c r="Y5" t="s">
        <v>294</v>
      </c>
      <c r="Z5" t="s">
        <v>290</v>
      </c>
      <c r="AA5" t="s">
        <v>291</v>
      </c>
      <c r="AB5" t="s">
        <v>292</v>
      </c>
      <c r="AC5" t="s">
        <v>294</v>
      </c>
      <c r="AD5" t="s">
        <v>290</v>
      </c>
      <c r="AE5" t="s">
        <v>291</v>
      </c>
      <c r="AF5" t="s">
        <v>292</v>
      </c>
      <c r="AG5" t="s">
        <v>294</v>
      </c>
      <c r="AH5" t="s">
        <v>290</v>
      </c>
      <c r="AI5" t="s">
        <v>291</v>
      </c>
      <c r="AJ5" t="s">
        <v>292</v>
      </c>
      <c r="AK5" t="s">
        <v>294</v>
      </c>
      <c r="AL5" t="s">
        <v>290</v>
      </c>
      <c r="AM5" t="s">
        <v>291</v>
      </c>
      <c r="AN5" t="s">
        <v>292</v>
      </c>
      <c r="AO5" t="s">
        <v>294</v>
      </c>
      <c r="AP5" t="s">
        <v>290</v>
      </c>
      <c r="AQ5" t="s">
        <v>291</v>
      </c>
      <c r="AR5" t="s">
        <v>292</v>
      </c>
      <c r="AS5" t="s">
        <v>294</v>
      </c>
      <c r="AT5" t="s">
        <v>290</v>
      </c>
      <c r="AU5" t="s">
        <v>291</v>
      </c>
      <c r="AV5" t="s">
        <v>292</v>
      </c>
      <c r="AW5" t="s">
        <v>294</v>
      </c>
      <c r="AX5" t="s">
        <v>290</v>
      </c>
      <c r="AY5" t="s">
        <v>291</v>
      </c>
      <c r="AZ5" t="s">
        <v>292</v>
      </c>
      <c r="BA5" t="s">
        <v>294</v>
      </c>
      <c r="BB5" t="s">
        <v>290</v>
      </c>
      <c r="BC5" t="s">
        <v>291</v>
      </c>
      <c r="BD5" t="s">
        <v>292</v>
      </c>
      <c r="BE5" t="s">
        <v>294</v>
      </c>
      <c r="BF5" t="s">
        <v>290</v>
      </c>
      <c r="BG5" t="s">
        <v>291</v>
      </c>
      <c r="BH5" t="s">
        <v>292</v>
      </c>
      <c r="BI5" t="s">
        <v>294</v>
      </c>
      <c r="BJ5" t="s">
        <v>290</v>
      </c>
      <c r="BK5" t="s">
        <v>291</v>
      </c>
      <c r="BL5" t="s">
        <v>292</v>
      </c>
      <c r="BM5" t="s">
        <v>294</v>
      </c>
      <c r="BN5" t="s">
        <v>290</v>
      </c>
      <c r="BO5" t="s">
        <v>291</v>
      </c>
      <c r="BP5" t="s">
        <v>292</v>
      </c>
      <c r="BQ5" t="s">
        <v>294</v>
      </c>
      <c r="BR5" t="s">
        <v>290</v>
      </c>
      <c r="BS5" t="s">
        <v>291</v>
      </c>
      <c r="BT5" t="s">
        <v>292</v>
      </c>
      <c r="BU5" t="s">
        <v>294</v>
      </c>
      <c r="BV5" t="s">
        <v>290</v>
      </c>
      <c r="BW5" t="s">
        <v>291</v>
      </c>
      <c r="BX5" t="s">
        <v>292</v>
      </c>
      <c r="BY5" t="s">
        <v>294</v>
      </c>
    </row>
    <row r="6" spans="1:81" x14ac:dyDescent="0.3">
      <c r="A6" s="48">
        <v>1</v>
      </c>
      <c r="B6" s="189">
        <v>341951</v>
      </c>
      <c r="C6" s="189">
        <v>171444</v>
      </c>
      <c r="D6" s="189">
        <v>170507</v>
      </c>
      <c r="E6" s="189">
        <v>44114</v>
      </c>
      <c r="F6" s="189">
        <v>19276</v>
      </c>
      <c r="G6" s="189">
        <v>9736</v>
      </c>
      <c r="H6" s="189">
        <v>9540</v>
      </c>
      <c r="I6" s="189">
        <v>3996</v>
      </c>
      <c r="J6" s="189">
        <v>18999</v>
      </c>
      <c r="K6" s="189">
        <v>9679</v>
      </c>
      <c r="L6" s="189">
        <v>9320</v>
      </c>
      <c r="M6" s="189">
        <v>3624</v>
      </c>
      <c r="N6" s="189">
        <v>20598</v>
      </c>
      <c r="O6" s="189">
        <v>10705</v>
      </c>
      <c r="P6" s="189">
        <v>9893</v>
      </c>
      <c r="Q6" s="189">
        <v>3757</v>
      </c>
      <c r="R6" s="189">
        <v>22269</v>
      </c>
      <c r="S6" s="189">
        <v>11752</v>
      </c>
      <c r="T6" s="189">
        <v>10517</v>
      </c>
      <c r="U6" s="189">
        <v>3948</v>
      </c>
      <c r="V6" s="189">
        <v>23484</v>
      </c>
      <c r="W6" s="189">
        <v>13084</v>
      </c>
      <c r="X6" s="189">
        <v>10400</v>
      </c>
      <c r="Y6" s="189">
        <v>4281</v>
      </c>
      <c r="Z6" s="189">
        <v>20113</v>
      </c>
      <c r="AA6" s="189">
        <v>10855</v>
      </c>
      <c r="AB6" s="189">
        <v>9258</v>
      </c>
      <c r="AC6" s="189">
        <v>2938</v>
      </c>
      <c r="AD6" s="189">
        <v>15710</v>
      </c>
      <c r="AE6" s="189">
        <v>8434</v>
      </c>
      <c r="AF6" s="189">
        <v>7276</v>
      </c>
      <c r="AG6" s="189">
        <v>2292</v>
      </c>
      <c r="AH6" s="189">
        <v>19037</v>
      </c>
      <c r="AI6" s="189">
        <v>9867</v>
      </c>
      <c r="AJ6" s="189">
        <v>9170</v>
      </c>
      <c r="AK6" s="189">
        <v>2659</v>
      </c>
      <c r="AL6" s="189">
        <v>20628</v>
      </c>
      <c r="AM6" s="189">
        <v>10281</v>
      </c>
      <c r="AN6" s="189">
        <v>10347</v>
      </c>
      <c r="AO6" s="189">
        <v>2682</v>
      </c>
      <c r="AP6" s="189">
        <v>25534</v>
      </c>
      <c r="AQ6" s="189">
        <v>12448</v>
      </c>
      <c r="AR6" s="189">
        <v>13086</v>
      </c>
      <c r="AS6" s="189">
        <v>2878</v>
      </c>
      <c r="AT6" s="189">
        <v>27738</v>
      </c>
      <c r="AU6" s="189">
        <v>13477</v>
      </c>
      <c r="AV6" s="189">
        <v>14261</v>
      </c>
      <c r="AW6" s="189">
        <v>2983</v>
      </c>
      <c r="AX6" s="189">
        <v>27394</v>
      </c>
      <c r="AY6" s="189">
        <v>13306</v>
      </c>
      <c r="AZ6" s="189">
        <v>14088</v>
      </c>
      <c r="BA6" s="189">
        <v>2549</v>
      </c>
      <c r="BB6" s="189">
        <v>24792</v>
      </c>
      <c r="BC6" s="189">
        <v>12056</v>
      </c>
      <c r="BD6" s="189">
        <v>12736</v>
      </c>
      <c r="BE6" s="189">
        <v>1905</v>
      </c>
      <c r="BF6" s="189">
        <v>18739</v>
      </c>
      <c r="BG6" s="189">
        <v>9120</v>
      </c>
      <c r="BH6" s="189">
        <v>9619</v>
      </c>
      <c r="BI6" s="189">
        <v>1335</v>
      </c>
      <c r="BJ6" s="189">
        <v>13077</v>
      </c>
      <c r="BK6" s="189">
        <v>6334</v>
      </c>
      <c r="BL6" s="189">
        <v>6743</v>
      </c>
      <c r="BM6" s="189">
        <v>916</v>
      </c>
      <c r="BN6" s="189">
        <v>9865</v>
      </c>
      <c r="BO6" s="189">
        <v>4495</v>
      </c>
      <c r="BP6" s="189">
        <v>5370</v>
      </c>
      <c r="BQ6" s="189">
        <v>670</v>
      </c>
      <c r="BR6" s="189">
        <v>7674</v>
      </c>
      <c r="BS6" s="189">
        <v>3364</v>
      </c>
      <c r="BT6" s="189">
        <v>4310</v>
      </c>
      <c r="BU6" s="189">
        <v>400</v>
      </c>
      <c r="BV6" s="189">
        <v>7024</v>
      </c>
      <c r="BW6" s="189">
        <v>2451</v>
      </c>
      <c r="BX6" s="189">
        <v>4573</v>
      </c>
      <c r="BY6" s="189">
        <v>301</v>
      </c>
      <c r="BZ6" s="189">
        <v>683902</v>
      </c>
      <c r="CA6" s="189">
        <v>342888</v>
      </c>
      <c r="CB6" s="189">
        <v>341014</v>
      </c>
      <c r="CC6" s="189">
        <v>88228</v>
      </c>
    </row>
    <row r="7" spans="1:81" x14ac:dyDescent="0.3">
      <c r="A7" s="48">
        <v>2</v>
      </c>
      <c r="B7" s="189">
        <v>476805</v>
      </c>
      <c r="C7" s="189">
        <v>237789</v>
      </c>
      <c r="D7" s="189">
        <v>239016</v>
      </c>
      <c r="E7" s="189">
        <v>54270</v>
      </c>
      <c r="F7" s="189">
        <v>29361</v>
      </c>
      <c r="G7" s="189">
        <v>15002</v>
      </c>
      <c r="H7" s="189">
        <v>14359</v>
      </c>
      <c r="I7" s="189">
        <v>5398</v>
      </c>
      <c r="J7" s="189">
        <v>28534</v>
      </c>
      <c r="K7" s="189">
        <v>14606</v>
      </c>
      <c r="L7" s="189">
        <v>13928</v>
      </c>
      <c r="M7" s="189">
        <v>4805</v>
      </c>
      <c r="N7" s="189">
        <v>29550</v>
      </c>
      <c r="O7" s="189">
        <v>15144</v>
      </c>
      <c r="P7" s="189">
        <v>14406</v>
      </c>
      <c r="Q7" s="189">
        <v>4363</v>
      </c>
      <c r="R7" s="189">
        <v>30816</v>
      </c>
      <c r="S7" s="189">
        <v>16396</v>
      </c>
      <c r="T7" s="189">
        <v>14420</v>
      </c>
      <c r="U7" s="189">
        <v>4573</v>
      </c>
      <c r="V7" s="189">
        <v>29369</v>
      </c>
      <c r="W7" s="189">
        <v>15521</v>
      </c>
      <c r="X7" s="189">
        <v>13848</v>
      </c>
      <c r="Y7" s="189">
        <v>4447</v>
      </c>
      <c r="Z7" s="189">
        <v>33575</v>
      </c>
      <c r="AA7" s="189">
        <v>17638</v>
      </c>
      <c r="AB7" s="189">
        <v>15937</v>
      </c>
      <c r="AC7" s="189">
        <v>4500</v>
      </c>
      <c r="AD7" s="189">
        <v>29232</v>
      </c>
      <c r="AE7" s="189">
        <v>15291</v>
      </c>
      <c r="AF7" s="189">
        <v>13941</v>
      </c>
      <c r="AG7" s="189">
        <v>3570</v>
      </c>
      <c r="AH7" s="189">
        <v>29342</v>
      </c>
      <c r="AI7" s="189">
        <v>15040</v>
      </c>
      <c r="AJ7" s="189">
        <v>14302</v>
      </c>
      <c r="AK7" s="189">
        <v>3598</v>
      </c>
      <c r="AL7" s="189">
        <v>29756</v>
      </c>
      <c r="AM7" s="189">
        <v>14988</v>
      </c>
      <c r="AN7" s="189">
        <v>14768</v>
      </c>
      <c r="AO7" s="189">
        <v>3320</v>
      </c>
      <c r="AP7" s="189">
        <v>34018</v>
      </c>
      <c r="AQ7" s="189">
        <v>16565</v>
      </c>
      <c r="AR7" s="189">
        <v>17453</v>
      </c>
      <c r="AS7" s="189">
        <v>3387</v>
      </c>
      <c r="AT7" s="189">
        <v>35891</v>
      </c>
      <c r="AU7" s="189">
        <v>17433</v>
      </c>
      <c r="AV7" s="189">
        <v>18458</v>
      </c>
      <c r="AW7" s="189">
        <v>3379</v>
      </c>
      <c r="AX7" s="189">
        <v>35401</v>
      </c>
      <c r="AY7" s="189">
        <v>17151</v>
      </c>
      <c r="AZ7" s="189">
        <v>18250</v>
      </c>
      <c r="BA7" s="189">
        <v>2793</v>
      </c>
      <c r="BB7" s="189">
        <v>30929</v>
      </c>
      <c r="BC7" s="189">
        <v>15070</v>
      </c>
      <c r="BD7" s="189">
        <v>15859</v>
      </c>
      <c r="BE7" s="189">
        <v>2123</v>
      </c>
      <c r="BF7" s="189">
        <v>23326</v>
      </c>
      <c r="BG7" s="189">
        <v>11155</v>
      </c>
      <c r="BH7" s="189">
        <v>12171</v>
      </c>
      <c r="BI7" s="189">
        <v>1531</v>
      </c>
      <c r="BJ7" s="189">
        <v>16710</v>
      </c>
      <c r="BK7" s="189">
        <v>7906</v>
      </c>
      <c r="BL7" s="189">
        <v>8804</v>
      </c>
      <c r="BM7" s="189">
        <v>1027</v>
      </c>
      <c r="BN7" s="189">
        <v>12579</v>
      </c>
      <c r="BO7" s="189">
        <v>5710</v>
      </c>
      <c r="BP7" s="189">
        <v>6869</v>
      </c>
      <c r="BQ7" s="189">
        <v>717</v>
      </c>
      <c r="BR7" s="189">
        <v>9728</v>
      </c>
      <c r="BS7" s="189">
        <v>4135</v>
      </c>
      <c r="BT7" s="189">
        <v>5593</v>
      </c>
      <c r="BU7" s="189">
        <v>435</v>
      </c>
      <c r="BV7" s="189">
        <v>8688</v>
      </c>
      <c r="BW7" s="189">
        <v>3038</v>
      </c>
      <c r="BX7" s="189">
        <v>5650</v>
      </c>
      <c r="BY7" s="189">
        <v>304</v>
      </c>
      <c r="BZ7" s="189">
        <v>953610</v>
      </c>
      <c r="CA7" s="189">
        <v>475578</v>
      </c>
      <c r="CB7" s="189">
        <v>478032</v>
      </c>
      <c r="CC7" s="189">
        <v>108540</v>
      </c>
    </row>
    <row r="8" spans="1:81" x14ac:dyDescent="0.3">
      <c r="A8" s="48">
        <v>3</v>
      </c>
      <c r="B8" s="189">
        <v>416506</v>
      </c>
      <c r="C8" s="189">
        <v>205793</v>
      </c>
      <c r="D8" s="189">
        <v>210713</v>
      </c>
      <c r="E8" s="189">
        <v>38378</v>
      </c>
      <c r="F8" s="189">
        <v>25175</v>
      </c>
      <c r="G8" s="189">
        <v>12882</v>
      </c>
      <c r="H8" s="189">
        <v>12293</v>
      </c>
      <c r="I8" s="189">
        <v>4027</v>
      </c>
      <c r="J8" s="189">
        <v>23311</v>
      </c>
      <c r="K8" s="189">
        <v>11768</v>
      </c>
      <c r="L8" s="189">
        <v>11543</v>
      </c>
      <c r="M8" s="189">
        <v>3110</v>
      </c>
      <c r="N8" s="189">
        <v>24482</v>
      </c>
      <c r="O8" s="189">
        <v>12503</v>
      </c>
      <c r="P8" s="189">
        <v>11979</v>
      </c>
      <c r="Q8" s="189">
        <v>2993</v>
      </c>
      <c r="R8" s="189">
        <v>29616</v>
      </c>
      <c r="S8" s="189">
        <v>14795</v>
      </c>
      <c r="T8" s="189">
        <v>14821</v>
      </c>
      <c r="U8" s="189">
        <v>3637</v>
      </c>
      <c r="V8" s="189">
        <v>40122</v>
      </c>
      <c r="W8" s="189">
        <v>20374</v>
      </c>
      <c r="X8" s="189">
        <v>19748</v>
      </c>
      <c r="Y8" s="189">
        <v>4888</v>
      </c>
      <c r="Z8" s="189">
        <v>27418</v>
      </c>
      <c r="AA8" s="189">
        <v>14144</v>
      </c>
      <c r="AB8" s="189">
        <v>13274</v>
      </c>
      <c r="AC8" s="189">
        <v>2838</v>
      </c>
      <c r="AD8" s="189">
        <v>18940</v>
      </c>
      <c r="AE8" s="189">
        <v>9879</v>
      </c>
      <c r="AF8" s="189">
        <v>9061</v>
      </c>
      <c r="AG8" s="189">
        <v>2089</v>
      </c>
      <c r="AH8" s="189">
        <v>23529</v>
      </c>
      <c r="AI8" s="189">
        <v>12035</v>
      </c>
      <c r="AJ8" s="189">
        <v>11494</v>
      </c>
      <c r="AK8" s="189">
        <v>2341</v>
      </c>
      <c r="AL8" s="189">
        <v>24307</v>
      </c>
      <c r="AM8" s="189">
        <v>12111</v>
      </c>
      <c r="AN8" s="189">
        <v>12196</v>
      </c>
      <c r="AO8" s="189">
        <v>2230</v>
      </c>
      <c r="AP8" s="189">
        <v>28296</v>
      </c>
      <c r="AQ8" s="189">
        <v>13890</v>
      </c>
      <c r="AR8" s="189">
        <v>14406</v>
      </c>
      <c r="AS8" s="189">
        <v>2214</v>
      </c>
      <c r="AT8" s="189">
        <v>29274</v>
      </c>
      <c r="AU8" s="189">
        <v>14131</v>
      </c>
      <c r="AV8" s="189">
        <v>15143</v>
      </c>
      <c r="AW8" s="189">
        <v>2039</v>
      </c>
      <c r="AX8" s="189">
        <v>30165</v>
      </c>
      <c r="AY8" s="189">
        <v>14615</v>
      </c>
      <c r="AZ8" s="189">
        <v>15550</v>
      </c>
      <c r="BA8" s="189">
        <v>1869</v>
      </c>
      <c r="BB8" s="189">
        <v>26862</v>
      </c>
      <c r="BC8" s="189">
        <v>12987</v>
      </c>
      <c r="BD8" s="189">
        <v>13875</v>
      </c>
      <c r="BE8" s="189">
        <v>1391</v>
      </c>
      <c r="BF8" s="189">
        <v>20681</v>
      </c>
      <c r="BG8" s="189">
        <v>10013</v>
      </c>
      <c r="BH8" s="189">
        <v>10668</v>
      </c>
      <c r="BI8" s="189">
        <v>1012</v>
      </c>
      <c r="BJ8" s="189">
        <v>15367</v>
      </c>
      <c r="BK8" s="189">
        <v>7368</v>
      </c>
      <c r="BL8" s="189">
        <v>7999</v>
      </c>
      <c r="BM8" s="189">
        <v>752</v>
      </c>
      <c r="BN8" s="189">
        <v>11701</v>
      </c>
      <c r="BO8" s="189">
        <v>5363</v>
      </c>
      <c r="BP8" s="189">
        <v>6338</v>
      </c>
      <c r="BQ8" s="189">
        <v>449</v>
      </c>
      <c r="BR8" s="189">
        <v>8730</v>
      </c>
      <c r="BS8" s="189">
        <v>3827</v>
      </c>
      <c r="BT8" s="189">
        <v>4903</v>
      </c>
      <c r="BU8" s="189">
        <v>274</v>
      </c>
      <c r="BV8" s="189">
        <v>8530</v>
      </c>
      <c r="BW8" s="189">
        <v>3108</v>
      </c>
      <c r="BX8" s="189">
        <v>5422</v>
      </c>
      <c r="BY8" s="189">
        <v>225</v>
      </c>
      <c r="BZ8" s="189">
        <v>833012</v>
      </c>
      <c r="CA8" s="189">
        <v>411586</v>
      </c>
      <c r="CB8" s="189">
        <v>421426</v>
      </c>
      <c r="CC8" s="189">
        <v>76756</v>
      </c>
    </row>
    <row r="9" spans="1:81" x14ac:dyDescent="0.3">
      <c r="A9" s="48">
        <v>4</v>
      </c>
      <c r="B9" s="189">
        <v>694571</v>
      </c>
      <c r="C9" s="189">
        <v>347949</v>
      </c>
      <c r="D9" s="189">
        <v>346622</v>
      </c>
      <c r="E9" s="189">
        <v>112495</v>
      </c>
      <c r="F9" s="189">
        <v>48184</v>
      </c>
      <c r="G9" s="189">
        <v>24478</v>
      </c>
      <c r="H9" s="189">
        <v>23706</v>
      </c>
      <c r="I9" s="189">
        <v>11305</v>
      </c>
      <c r="J9" s="189">
        <v>46667</v>
      </c>
      <c r="K9" s="189">
        <v>23757</v>
      </c>
      <c r="L9" s="189">
        <v>22910</v>
      </c>
      <c r="M9" s="189">
        <v>10025</v>
      </c>
      <c r="N9" s="189">
        <v>46672</v>
      </c>
      <c r="O9" s="189">
        <v>23844</v>
      </c>
      <c r="P9" s="189">
        <v>22828</v>
      </c>
      <c r="Q9" s="189">
        <v>8904</v>
      </c>
      <c r="R9" s="189">
        <v>46503</v>
      </c>
      <c r="S9" s="189">
        <v>24214</v>
      </c>
      <c r="T9" s="189">
        <v>22289</v>
      </c>
      <c r="U9" s="189">
        <v>7949</v>
      </c>
      <c r="V9" s="189">
        <v>43672</v>
      </c>
      <c r="W9" s="189">
        <v>22941</v>
      </c>
      <c r="X9" s="189">
        <v>20731</v>
      </c>
      <c r="Y9" s="189">
        <v>7424</v>
      </c>
      <c r="Z9" s="189">
        <v>50911</v>
      </c>
      <c r="AA9" s="189">
        <v>25947</v>
      </c>
      <c r="AB9" s="189">
        <v>24964</v>
      </c>
      <c r="AC9" s="189">
        <v>9395</v>
      </c>
      <c r="AD9" s="189">
        <v>47977</v>
      </c>
      <c r="AE9" s="189">
        <v>24550</v>
      </c>
      <c r="AF9" s="189">
        <v>23427</v>
      </c>
      <c r="AG9" s="189">
        <v>9534</v>
      </c>
      <c r="AH9" s="189">
        <v>51082</v>
      </c>
      <c r="AI9" s="189">
        <v>25732</v>
      </c>
      <c r="AJ9" s="189">
        <v>25350</v>
      </c>
      <c r="AK9" s="189">
        <v>9582</v>
      </c>
      <c r="AL9" s="189">
        <v>52693</v>
      </c>
      <c r="AM9" s="189">
        <v>26766</v>
      </c>
      <c r="AN9" s="189">
        <v>25927</v>
      </c>
      <c r="AO9" s="189">
        <v>8407</v>
      </c>
      <c r="AP9" s="189">
        <v>58296</v>
      </c>
      <c r="AQ9" s="189">
        <v>29600</v>
      </c>
      <c r="AR9" s="189">
        <v>28696</v>
      </c>
      <c r="AS9" s="189">
        <v>7883</v>
      </c>
      <c r="AT9" s="189">
        <v>54475</v>
      </c>
      <c r="AU9" s="189">
        <v>27387</v>
      </c>
      <c r="AV9" s="189">
        <v>27088</v>
      </c>
      <c r="AW9" s="189">
        <v>6665</v>
      </c>
      <c r="AX9" s="189">
        <v>44750</v>
      </c>
      <c r="AY9" s="189">
        <v>22043</v>
      </c>
      <c r="AZ9" s="189">
        <v>22707</v>
      </c>
      <c r="BA9" s="189">
        <v>5106</v>
      </c>
      <c r="BB9" s="189">
        <v>34325</v>
      </c>
      <c r="BC9" s="189">
        <v>16578</v>
      </c>
      <c r="BD9" s="189">
        <v>17747</v>
      </c>
      <c r="BE9" s="189">
        <v>3759</v>
      </c>
      <c r="BF9" s="189">
        <v>22334</v>
      </c>
      <c r="BG9" s="189">
        <v>10862</v>
      </c>
      <c r="BH9" s="189">
        <v>11472</v>
      </c>
      <c r="BI9" s="189">
        <v>2504</v>
      </c>
      <c r="BJ9" s="189">
        <v>15468</v>
      </c>
      <c r="BK9" s="189">
        <v>7244</v>
      </c>
      <c r="BL9" s="189">
        <v>8224</v>
      </c>
      <c r="BM9" s="189">
        <v>1772</v>
      </c>
      <c r="BN9" s="189">
        <v>11975</v>
      </c>
      <c r="BO9" s="189">
        <v>5259</v>
      </c>
      <c r="BP9" s="189">
        <v>6716</v>
      </c>
      <c r="BQ9" s="189">
        <v>1090</v>
      </c>
      <c r="BR9" s="189">
        <v>9194</v>
      </c>
      <c r="BS9" s="189">
        <v>3650</v>
      </c>
      <c r="BT9" s="189">
        <v>5544</v>
      </c>
      <c r="BU9" s="189">
        <v>677</v>
      </c>
      <c r="BV9" s="189">
        <v>9393</v>
      </c>
      <c r="BW9" s="189">
        <v>3097</v>
      </c>
      <c r="BX9" s="189">
        <v>6296</v>
      </c>
      <c r="BY9" s="189">
        <v>514</v>
      </c>
      <c r="BZ9" s="189">
        <v>1389142</v>
      </c>
      <c r="CA9" s="189">
        <v>695898</v>
      </c>
      <c r="CB9" s="189">
        <v>693244</v>
      </c>
      <c r="CC9" s="189">
        <v>224990</v>
      </c>
    </row>
    <row r="10" spans="1:81" x14ac:dyDescent="0.3">
      <c r="A10" s="48">
        <v>5</v>
      </c>
      <c r="B10" s="189">
        <v>1916441</v>
      </c>
      <c r="C10" s="189">
        <v>958922</v>
      </c>
      <c r="D10" s="189">
        <v>957519</v>
      </c>
      <c r="E10" s="189">
        <v>489586</v>
      </c>
      <c r="F10" s="189">
        <v>122232</v>
      </c>
      <c r="G10" s="189">
        <v>62378</v>
      </c>
      <c r="H10" s="189">
        <v>59854</v>
      </c>
      <c r="I10" s="189">
        <v>43272</v>
      </c>
      <c r="J10" s="189">
        <v>113826</v>
      </c>
      <c r="K10" s="189">
        <v>57896</v>
      </c>
      <c r="L10" s="189">
        <v>55930</v>
      </c>
      <c r="M10" s="189">
        <v>37955</v>
      </c>
      <c r="N10" s="189">
        <v>105472</v>
      </c>
      <c r="O10" s="189">
        <v>54142</v>
      </c>
      <c r="P10" s="189">
        <v>51330</v>
      </c>
      <c r="Q10" s="189">
        <v>32932</v>
      </c>
      <c r="R10" s="189">
        <v>111024</v>
      </c>
      <c r="S10" s="189">
        <v>57033</v>
      </c>
      <c r="T10" s="189">
        <v>53991</v>
      </c>
      <c r="U10" s="189">
        <v>32939</v>
      </c>
      <c r="V10" s="189">
        <v>121232</v>
      </c>
      <c r="W10" s="189">
        <v>62284</v>
      </c>
      <c r="X10" s="189">
        <v>58948</v>
      </c>
      <c r="Y10" s="189">
        <v>33934</v>
      </c>
      <c r="Z10" s="189">
        <v>167338</v>
      </c>
      <c r="AA10" s="189">
        <v>85644</v>
      </c>
      <c r="AB10" s="189">
        <v>81694</v>
      </c>
      <c r="AC10" s="189">
        <v>46539</v>
      </c>
      <c r="AD10" s="189">
        <v>160285</v>
      </c>
      <c r="AE10" s="189">
        <v>81363</v>
      </c>
      <c r="AF10" s="189">
        <v>78922</v>
      </c>
      <c r="AG10" s="189">
        <v>45342</v>
      </c>
      <c r="AH10" s="189">
        <v>151802</v>
      </c>
      <c r="AI10" s="189">
        <v>78120</v>
      </c>
      <c r="AJ10" s="189">
        <v>73682</v>
      </c>
      <c r="AK10" s="189">
        <v>42070</v>
      </c>
      <c r="AL10" s="189">
        <v>145446</v>
      </c>
      <c r="AM10" s="189">
        <v>75004</v>
      </c>
      <c r="AN10" s="189">
        <v>70442</v>
      </c>
      <c r="AO10" s="189">
        <v>35010</v>
      </c>
      <c r="AP10" s="189">
        <v>149964</v>
      </c>
      <c r="AQ10" s="189">
        <v>75904</v>
      </c>
      <c r="AR10" s="189">
        <v>74060</v>
      </c>
      <c r="AS10" s="189">
        <v>32758</v>
      </c>
      <c r="AT10" s="189">
        <v>143272</v>
      </c>
      <c r="AU10" s="189">
        <v>71698</v>
      </c>
      <c r="AV10" s="189">
        <v>71574</v>
      </c>
      <c r="AW10" s="189">
        <v>28589</v>
      </c>
      <c r="AX10" s="189">
        <v>123240</v>
      </c>
      <c r="AY10" s="189">
        <v>60639</v>
      </c>
      <c r="AZ10" s="189">
        <v>62601</v>
      </c>
      <c r="BA10" s="189">
        <v>23810</v>
      </c>
      <c r="BB10" s="189">
        <v>96306</v>
      </c>
      <c r="BC10" s="189">
        <v>47107</v>
      </c>
      <c r="BD10" s="189">
        <v>49199</v>
      </c>
      <c r="BE10" s="189">
        <v>17597</v>
      </c>
      <c r="BF10" s="189">
        <v>62414</v>
      </c>
      <c r="BG10" s="189">
        <v>30527</v>
      </c>
      <c r="BH10" s="189">
        <v>31887</v>
      </c>
      <c r="BI10" s="189">
        <v>12009</v>
      </c>
      <c r="BJ10" s="189">
        <v>43428</v>
      </c>
      <c r="BK10" s="189">
        <v>20492</v>
      </c>
      <c r="BL10" s="189">
        <v>22936</v>
      </c>
      <c r="BM10" s="189">
        <v>9078</v>
      </c>
      <c r="BN10" s="189">
        <v>35614</v>
      </c>
      <c r="BO10" s="189">
        <v>15860</v>
      </c>
      <c r="BP10" s="189">
        <v>19754</v>
      </c>
      <c r="BQ10" s="189">
        <v>6536</v>
      </c>
      <c r="BR10" s="189">
        <v>30094</v>
      </c>
      <c r="BS10" s="189">
        <v>11970</v>
      </c>
      <c r="BT10" s="189">
        <v>18124</v>
      </c>
      <c r="BU10" s="189">
        <v>4853</v>
      </c>
      <c r="BV10" s="189">
        <v>33452</v>
      </c>
      <c r="BW10" s="189">
        <v>10861</v>
      </c>
      <c r="BX10" s="189">
        <v>22591</v>
      </c>
      <c r="BY10" s="189">
        <v>4363</v>
      </c>
      <c r="BZ10" s="189">
        <v>3832882</v>
      </c>
      <c r="CA10" s="189">
        <v>1917844</v>
      </c>
      <c r="CB10" s="189">
        <v>1915038</v>
      </c>
      <c r="CC10" s="189">
        <v>979172</v>
      </c>
    </row>
    <row r="11" spans="1:81" x14ac:dyDescent="0.3">
      <c r="A11" s="48">
        <v>6</v>
      </c>
      <c r="B11" s="189">
        <v>796836</v>
      </c>
      <c r="C11" s="189">
        <v>397043</v>
      </c>
      <c r="D11" s="189">
        <v>399793</v>
      </c>
      <c r="E11" s="189">
        <v>164887</v>
      </c>
      <c r="F11" s="189">
        <v>57009</v>
      </c>
      <c r="G11" s="189">
        <v>29217</v>
      </c>
      <c r="H11" s="189">
        <v>27792</v>
      </c>
      <c r="I11" s="189">
        <v>16602</v>
      </c>
      <c r="J11" s="189">
        <v>53249</v>
      </c>
      <c r="K11" s="189">
        <v>27293</v>
      </c>
      <c r="L11" s="189">
        <v>25956</v>
      </c>
      <c r="M11" s="189">
        <v>14550</v>
      </c>
      <c r="N11" s="189">
        <v>52941</v>
      </c>
      <c r="O11" s="189">
        <v>26959</v>
      </c>
      <c r="P11" s="189">
        <v>25982</v>
      </c>
      <c r="Q11" s="189">
        <v>13767</v>
      </c>
      <c r="R11" s="189">
        <v>55677</v>
      </c>
      <c r="S11" s="189">
        <v>29112</v>
      </c>
      <c r="T11" s="189">
        <v>26565</v>
      </c>
      <c r="U11" s="189">
        <v>13908</v>
      </c>
      <c r="V11" s="189">
        <v>63027</v>
      </c>
      <c r="W11" s="189">
        <v>33948</v>
      </c>
      <c r="X11" s="189">
        <v>29079</v>
      </c>
      <c r="Y11" s="189">
        <v>14876</v>
      </c>
      <c r="Z11" s="189">
        <v>63872</v>
      </c>
      <c r="AA11" s="189">
        <v>32416</v>
      </c>
      <c r="AB11" s="189">
        <v>31456</v>
      </c>
      <c r="AC11" s="189">
        <v>14044</v>
      </c>
      <c r="AD11" s="189">
        <v>51287</v>
      </c>
      <c r="AE11" s="189">
        <v>25349</v>
      </c>
      <c r="AF11" s="189">
        <v>25938</v>
      </c>
      <c r="AG11" s="189">
        <v>10622</v>
      </c>
      <c r="AH11" s="189">
        <v>53037</v>
      </c>
      <c r="AI11" s="189">
        <v>26617</v>
      </c>
      <c r="AJ11" s="189">
        <v>26420</v>
      </c>
      <c r="AK11" s="189">
        <v>10967</v>
      </c>
      <c r="AL11" s="189">
        <v>55210</v>
      </c>
      <c r="AM11" s="189">
        <v>27454</v>
      </c>
      <c r="AN11" s="189">
        <v>27756</v>
      </c>
      <c r="AO11" s="189">
        <v>10473</v>
      </c>
      <c r="AP11" s="189">
        <v>60480</v>
      </c>
      <c r="AQ11" s="189">
        <v>30091</v>
      </c>
      <c r="AR11" s="189">
        <v>30389</v>
      </c>
      <c r="AS11" s="189">
        <v>10881</v>
      </c>
      <c r="AT11" s="189">
        <v>57709</v>
      </c>
      <c r="AU11" s="189">
        <v>28640</v>
      </c>
      <c r="AV11" s="189">
        <v>29069</v>
      </c>
      <c r="AW11" s="189">
        <v>10164</v>
      </c>
      <c r="AX11" s="189">
        <v>48358</v>
      </c>
      <c r="AY11" s="189">
        <v>23625</v>
      </c>
      <c r="AZ11" s="189">
        <v>24733</v>
      </c>
      <c r="BA11" s="189">
        <v>7610</v>
      </c>
      <c r="BB11" s="189">
        <v>38806</v>
      </c>
      <c r="BC11" s="189">
        <v>18836</v>
      </c>
      <c r="BD11" s="189">
        <v>19970</v>
      </c>
      <c r="BE11" s="189">
        <v>5424</v>
      </c>
      <c r="BF11" s="189">
        <v>27434</v>
      </c>
      <c r="BG11" s="189">
        <v>13222</v>
      </c>
      <c r="BH11" s="189">
        <v>14212</v>
      </c>
      <c r="BI11" s="189">
        <v>3781</v>
      </c>
      <c r="BJ11" s="189">
        <v>19907</v>
      </c>
      <c r="BK11" s="189">
        <v>9082</v>
      </c>
      <c r="BL11" s="189">
        <v>10825</v>
      </c>
      <c r="BM11" s="189">
        <v>2797</v>
      </c>
      <c r="BN11" s="189">
        <v>15920</v>
      </c>
      <c r="BO11" s="189">
        <v>7000</v>
      </c>
      <c r="BP11" s="189">
        <v>8920</v>
      </c>
      <c r="BQ11" s="189">
        <v>2190</v>
      </c>
      <c r="BR11" s="189">
        <v>11939</v>
      </c>
      <c r="BS11" s="189">
        <v>4692</v>
      </c>
      <c r="BT11" s="189">
        <v>7247</v>
      </c>
      <c r="BU11" s="189">
        <v>1383</v>
      </c>
      <c r="BV11" s="189">
        <v>10974</v>
      </c>
      <c r="BW11" s="189">
        <v>3490</v>
      </c>
      <c r="BX11" s="189">
        <v>7484</v>
      </c>
      <c r="BY11" s="189">
        <v>848</v>
      </c>
      <c r="BZ11" s="189">
        <v>1593672</v>
      </c>
      <c r="CA11" s="189">
        <v>794086</v>
      </c>
      <c r="CB11" s="189">
        <v>799586</v>
      </c>
      <c r="CC11" s="189">
        <v>329774</v>
      </c>
    </row>
    <row r="12" spans="1:81" x14ac:dyDescent="0.3">
      <c r="A12" s="48">
        <v>7</v>
      </c>
      <c r="B12" s="189">
        <v>538030</v>
      </c>
      <c r="C12" s="189">
        <v>268246</v>
      </c>
      <c r="D12" s="189">
        <v>269784</v>
      </c>
      <c r="E12" s="189">
        <v>51501</v>
      </c>
      <c r="F12" s="189">
        <v>37894</v>
      </c>
      <c r="G12" s="189">
        <v>19289</v>
      </c>
      <c r="H12" s="189">
        <v>18605</v>
      </c>
      <c r="I12" s="189">
        <v>5472</v>
      </c>
      <c r="J12" s="189">
        <v>38253</v>
      </c>
      <c r="K12" s="189">
        <v>19469</v>
      </c>
      <c r="L12" s="189">
        <v>18784</v>
      </c>
      <c r="M12" s="189">
        <v>5001</v>
      </c>
      <c r="N12" s="189">
        <v>39571</v>
      </c>
      <c r="O12" s="189">
        <v>20128</v>
      </c>
      <c r="P12" s="189">
        <v>19443</v>
      </c>
      <c r="Q12" s="189">
        <v>4830</v>
      </c>
      <c r="R12" s="189">
        <v>36688</v>
      </c>
      <c r="S12" s="189">
        <v>19015</v>
      </c>
      <c r="T12" s="189">
        <v>17673</v>
      </c>
      <c r="U12" s="189">
        <v>4259</v>
      </c>
      <c r="V12" s="189">
        <v>30764</v>
      </c>
      <c r="W12" s="189">
        <v>16127</v>
      </c>
      <c r="X12" s="189">
        <v>14637</v>
      </c>
      <c r="Y12" s="189">
        <v>3372</v>
      </c>
      <c r="Z12" s="189">
        <v>36595</v>
      </c>
      <c r="AA12" s="189">
        <v>19080</v>
      </c>
      <c r="AB12" s="189">
        <v>17515</v>
      </c>
      <c r="AC12" s="189">
        <v>3576</v>
      </c>
      <c r="AD12" s="189">
        <v>35718</v>
      </c>
      <c r="AE12" s="189">
        <v>17876</v>
      </c>
      <c r="AF12" s="189">
        <v>17842</v>
      </c>
      <c r="AG12" s="189">
        <v>3555</v>
      </c>
      <c r="AH12" s="189">
        <v>37480</v>
      </c>
      <c r="AI12" s="189">
        <v>18758</v>
      </c>
      <c r="AJ12" s="189">
        <v>18722</v>
      </c>
      <c r="AK12" s="189">
        <v>4108</v>
      </c>
      <c r="AL12" s="189">
        <v>37028</v>
      </c>
      <c r="AM12" s="189">
        <v>18508</v>
      </c>
      <c r="AN12" s="189">
        <v>18520</v>
      </c>
      <c r="AO12" s="189">
        <v>3485</v>
      </c>
      <c r="AP12" s="189">
        <v>39759</v>
      </c>
      <c r="AQ12" s="189">
        <v>19840</v>
      </c>
      <c r="AR12" s="189">
        <v>19919</v>
      </c>
      <c r="AS12" s="189">
        <v>3243</v>
      </c>
      <c r="AT12" s="189">
        <v>38947</v>
      </c>
      <c r="AU12" s="189">
        <v>19416</v>
      </c>
      <c r="AV12" s="189">
        <v>19531</v>
      </c>
      <c r="AW12" s="189">
        <v>2991</v>
      </c>
      <c r="AX12" s="189">
        <v>35334</v>
      </c>
      <c r="AY12" s="189">
        <v>17354</v>
      </c>
      <c r="AZ12" s="189">
        <v>17980</v>
      </c>
      <c r="BA12" s="189">
        <v>2536</v>
      </c>
      <c r="BB12" s="189">
        <v>30284</v>
      </c>
      <c r="BC12" s="189">
        <v>14793</v>
      </c>
      <c r="BD12" s="189">
        <v>15491</v>
      </c>
      <c r="BE12" s="189">
        <v>1880</v>
      </c>
      <c r="BF12" s="189">
        <v>21486</v>
      </c>
      <c r="BG12" s="189">
        <v>10595</v>
      </c>
      <c r="BH12" s="189">
        <v>10891</v>
      </c>
      <c r="BI12" s="189">
        <v>1250</v>
      </c>
      <c r="BJ12" s="189">
        <v>14951</v>
      </c>
      <c r="BK12" s="189">
        <v>7019</v>
      </c>
      <c r="BL12" s="189">
        <v>7932</v>
      </c>
      <c r="BM12" s="189">
        <v>784</v>
      </c>
      <c r="BN12" s="189">
        <v>11018</v>
      </c>
      <c r="BO12" s="189">
        <v>4889</v>
      </c>
      <c r="BP12" s="189">
        <v>6129</v>
      </c>
      <c r="BQ12" s="189">
        <v>561</v>
      </c>
      <c r="BR12" s="189">
        <v>8534</v>
      </c>
      <c r="BS12" s="189">
        <v>3467</v>
      </c>
      <c r="BT12" s="189">
        <v>5067</v>
      </c>
      <c r="BU12" s="189">
        <v>334</v>
      </c>
      <c r="BV12" s="189">
        <v>7726</v>
      </c>
      <c r="BW12" s="189">
        <v>2623</v>
      </c>
      <c r="BX12" s="189">
        <v>5103</v>
      </c>
      <c r="BY12" s="189">
        <v>264</v>
      </c>
      <c r="BZ12" s="189">
        <v>1076060</v>
      </c>
      <c r="CA12" s="189">
        <v>536492</v>
      </c>
      <c r="CB12" s="189">
        <v>539568</v>
      </c>
      <c r="CC12" s="189">
        <v>103002</v>
      </c>
    </row>
    <row r="13" spans="1:81" x14ac:dyDescent="0.3">
      <c r="A13" s="48">
        <v>8</v>
      </c>
      <c r="B13" s="189">
        <v>256319</v>
      </c>
      <c r="C13" s="189">
        <v>129559</v>
      </c>
      <c r="D13" s="189">
        <v>126760</v>
      </c>
      <c r="E13" s="189">
        <v>17968</v>
      </c>
      <c r="F13" s="189">
        <v>21506</v>
      </c>
      <c r="G13" s="189">
        <v>11153</v>
      </c>
      <c r="H13" s="189">
        <v>10353</v>
      </c>
      <c r="I13" s="189">
        <v>3002</v>
      </c>
      <c r="J13" s="189">
        <v>19906</v>
      </c>
      <c r="K13" s="189">
        <v>10141</v>
      </c>
      <c r="L13" s="189">
        <v>9765</v>
      </c>
      <c r="M13" s="189">
        <v>1947</v>
      </c>
      <c r="N13" s="189">
        <v>18671</v>
      </c>
      <c r="O13" s="189">
        <v>9469</v>
      </c>
      <c r="P13" s="189">
        <v>9202</v>
      </c>
      <c r="Q13" s="189">
        <v>1371</v>
      </c>
      <c r="R13" s="189">
        <v>19502</v>
      </c>
      <c r="S13" s="189">
        <v>10200</v>
      </c>
      <c r="T13" s="189">
        <v>9302</v>
      </c>
      <c r="U13" s="189">
        <v>1554</v>
      </c>
      <c r="V13" s="189">
        <v>16429</v>
      </c>
      <c r="W13" s="189">
        <v>8679</v>
      </c>
      <c r="X13" s="189">
        <v>7750</v>
      </c>
      <c r="Y13" s="189">
        <v>1314</v>
      </c>
      <c r="Z13" s="189">
        <v>15656</v>
      </c>
      <c r="AA13" s="189">
        <v>8464</v>
      </c>
      <c r="AB13" s="189">
        <v>7192</v>
      </c>
      <c r="AC13" s="189">
        <v>1223</v>
      </c>
      <c r="AD13" s="189">
        <v>13784</v>
      </c>
      <c r="AE13" s="189">
        <v>7110</v>
      </c>
      <c r="AF13" s="189">
        <v>6674</v>
      </c>
      <c r="AG13" s="189">
        <v>1077</v>
      </c>
      <c r="AH13" s="189">
        <v>14968</v>
      </c>
      <c r="AI13" s="189">
        <v>7667</v>
      </c>
      <c r="AJ13" s="189">
        <v>7301</v>
      </c>
      <c r="AK13" s="189">
        <v>1035</v>
      </c>
      <c r="AL13" s="189">
        <v>15063</v>
      </c>
      <c r="AM13" s="189">
        <v>7561</v>
      </c>
      <c r="AN13" s="189">
        <v>7502</v>
      </c>
      <c r="AO13" s="189">
        <v>890</v>
      </c>
      <c r="AP13" s="189">
        <v>17090</v>
      </c>
      <c r="AQ13" s="189">
        <v>8512</v>
      </c>
      <c r="AR13" s="189">
        <v>8578</v>
      </c>
      <c r="AS13" s="189">
        <v>902</v>
      </c>
      <c r="AT13" s="189">
        <v>17704</v>
      </c>
      <c r="AU13" s="189">
        <v>8808</v>
      </c>
      <c r="AV13" s="189">
        <v>8896</v>
      </c>
      <c r="AW13" s="189">
        <v>971</v>
      </c>
      <c r="AX13" s="189">
        <v>16807</v>
      </c>
      <c r="AY13" s="189">
        <v>8556</v>
      </c>
      <c r="AZ13" s="189">
        <v>8251</v>
      </c>
      <c r="BA13" s="189">
        <v>791</v>
      </c>
      <c r="BB13" s="189">
        <v>14228</v>
      </c>
      <c r="BC13" s="189">
        <v>7034</v>
      </c>
      <c r="BD13" s="189">
        <v>7194</v>
      </c>
      <c r="BE13" s="189">
        <v>593</v>
      </c>
      <c r="BF13" s="189">
        <v>11118</v>
      </c>
      <c r="BG13" s="189">
        <v>5550</v>
      </c>
      <c r="BH13" s="189">
        <v>5568</v>
      </c>
      <c r="BI13" s="189">
        <v>443</v>
      </c>
      <c r="BJ13" s="189">
        <v>8112</v>
      </c>
      <c r="BK13" s="189">
        <v>3927</v>
      </c>
      <c r="BL13" s="189">
        <v>4185</v>
      </c>
      <c r="BM13" s="189">
        <v>302</v>
      </c>
      <c r="BN13" s="189">
        <v>6443</v>
      </c>
      <c r="BO13" s="189">
        <v>2974</v>
      </c>
      <c r="BP13" s="189">
        <v>3469</v>
      </c>
      <c r="BQ13" s="189">
        <v>231</v>
      </c>
      <c r="BR13" s="189">
        <v>4886</v>
      </c>
      <c r="BS13" s="189">
        <v>2112</v>
      </c>
      <c r="BT13" s="189">
        <v>2774</v>
      </c>
      <c r="BU13" s="189">
        <v>199</v>
      </c>
      <c r="BV13" s="189">
        <v>4446</v>
      </c>
      <c r="BW13" s="189">
        <v>1642</v>
      </c>
      <c r="BX13" s="189">
        <v>2804</v>
      </c>
      <c r="BY13" s="189">
        <v>123</v>
      </c>
      <c r="BZ13" s="189">
        <v>512638</v>
      </c>
      <c r="CA13" s="189">
        <v>259118</v>
      </c>
      <c r="CB13" s="189">
        <v>253520</v>
      </c>
      <c r="CC13" s="189">
        <v>35936</v>
      </c>
    </row>
    <row r="14" spans="1:81" x14ac:dyDescent="0.3">
      <c r="A14" s="48">
        <v>9</v>
      </c>
      <c r="B14" s="189">
        <v>310034</v>
      </c>
      <c r="C14" s="189">
        <v>155059</v>
      </c>
      <c r="D14" s="189">
        <v>154975</v>
      </c>
      <c r="E14" s="189">
        <v>30447</v>
      </c>
      <c r="F14" s="189">
        <v>26280</v>
      </c>
      <c r="G14" s="189">
        <v>13460</v>
      </c>
      <c r="H14" s="189">
        <v>12820</v>
      </c>
      <c r="I14" s="189">
        <v>4483</v>
      </c>
      <c r="J14" s="189">
        <v>25019</v>
      </c>
      <c r="K14" s="189">
        <v>12783</v>
      </c>
      <c r="L14" s="189">
        <v>12236</v>
      </c>
      <c r="M14" s="189">
        <v>3619</v>
      </c>
      <c r="N14" s="189">
        <v>22788</v>
      </c>
      <c r="O14" s="189">
        <v>11549</v>
      </c>
      <c r="P14" s="189">
        <v>11239</v>
      </c>
      <c r="Q14" s="189">
        <v>2343</v>
      </c>
      <c r="R14" s="189">
        <v>25040</v>
      </c>
      <c r="S14" s="189">
        <v>12963</v>
      </c>
      <c r="T14" s="189">
        <v>12077</v>
      </c>
      <c r="U14" s="189">
        <v>2677</v>
      </c>
      <c r="V14" s="189">
        <v>25491</v>
      </c>
      <c r="W14" s="189">
        <v>13099</v>
      </c>
      <c r="X14" s="189">
        <v>12392</v>
      </c>
      <c r="Y14" s="189">
        <v>2884</v>
      </c>
      <c r="Z14" s="189">
        <v>20342</v>
      </c>
      <c r="AA14" s="189">
        <v>10635</v>
      </c>
      <c r="AB14" s="189">
        <v>9707</v>
      </c>
      <c r="AC14" s="189">
        <v>2194</v>
      </c>
      <c r="AD14" s="189">
        <v>16960</v>
      </c>
      <c r="AE14" s="189">
        <v>8799</v>
      </c>
      <c r="AF14" s="189">
        <v>8161</v>
      </c>
      <c r="AG14" s="189">
        <v>1639</v>
      </c>
      <c r="AH14" s="189">
        <v>18175</v>
      </c>
      <c r="AI14" s="189">
        <v>9235</v>
      </c>
      <c r="AJ14" s="189">
        <v>8940</v>
      </c>
      <c r="AK14" s="189">
        <v>1517</v>
      </c>
      <c r="AL14" s="189">
        <v>17907</v>
      </c>
      <c r="AM14" s="189">
        <v>9000</v>
      </c>
      <c r="AN14" s="189">
        <v>8907</v>
      </c>
      <c r="AO14" s="189">
        <v>1546</v>
      </c>
      <c r="AP14" s="189">
        <v>20036</v>
      </c>
      <c r="AQ14" s="189">
        <v>10026</v>
      </c>
      <c r="AR14" s="189">
        <v>10010</v>
      </c>
      <c r="AS14" s="189">
        <v>1713</v>
      </c>
      <c r="AT14" s="189">
        <v>19930</v>
      </c>
      <c r="AU14" s="189">
        <v>9862</v>
      </c>
      <c r="AV14" s="189">
        <v>10068</v>
      </c>
      <c r="AW14" s="189">
        <v>1635</v>
      </c>
      <c r="AX14" s="189">
        <v>18586</v>
      </c>
      <c r="AY14" s="189">
        <v>9065</v>
      </c>
      <c r="AZ14" s="189">
        <v>9521</v>
      </c>
      <c r="BA14" s="189">
        <v>1286</v>
      </c>
      <c r="BB14" s="189">
        <v>15651</v>
      </c>
      <c r="BC14" s="189">
        <v>7759</v>
      </c>
      <c r="BD14" s="189">
        <v>7892</v>
      </c>
      <c r="BE14" s="189">
        <v>925</v>
      </c>
      <c r="BF14" s="189">
        <v>11782</v>
      </c>
      <c r="BG14" s="189">
        <v>5793</v>
      </c>
      <c r="BH14" s="189">
        <v>5989</v>
      </c>
      <c r="BI14" s="189">
        <v>660</v>
      </c>
      <c r="BJ14" s="189">
        <v>8745</v>
      </c>
      <c r="BK14" s="189">
        <v>4140</v>
      </c>
      <c r="BL14" s="189">
        <v>4605</v>
      </c>
      <c r="BM14" s="189">
        <v>529</v>
      </c>
      <c r="BN14" s="189">
        <v>6713</v>
      </c>
      <c r="BO14" s="189">
        <v>2957</v>
      </c>
      <c r="BP14" s="189">
        <v>3756</v>
      </c>
      <c r="BQ14" s="189">
        <v>359</v>
      </c>
      <c r="BR14" s="189">
        <v>5205</v>
      </c>
      <c r="BS14" s="189">
        <v>2192</v>
      </c>
      <c r="BT14" s="189">
        <v>3013</v>
      </c>
      <c r="BU14" s="189">
        <v>248</v>
      </c>
      <c r="BV14" s="189">
        <v>5384</v>
      </c>
      <c r="BW14" s="189">
        <v>1742</v>
      </c>
      <c r="BX14" s="189">
        <v>3642</v>
      </c>
      <c r="BY14" s="189">
        <v>190</v>
      </c>
      <c r="BZ14" s="189">
        <v>620068</v>
      </c>
      <c r="CA14" s="189">
        <v>310118</v>
      </c>
      <c r="CB14" s="189">
        <v>309950</v>
      </c>
      <c r="CC14" s="189">
        <v>60894</v>
      </c>
    </row>
    <row r="15" spans="1:81" x14ac:dyDescent="0.3">
      <c r="A15" s="48">
        <v>10</v>
      </c>
      <c r="B15" s="189">
        <v>202369</v>
      </c>
      <c r="C15" s="189">
        <v>101373</v>
      </c>
      <c r="D15" s="189">
        <v>100996</v>
      </c>
      <c r="E15" s="189">
        <v>17913</v>
      </c>
      <c r="F15" s="189">
        <v>11623</v>
      </c>
      <c r="G15" s="189">
        <v>6034</v>
      </c>
      <c r="H15" s="189">
        <v>5589</v>
      </c>
      <c r="I15" s="189">
        <v>1590</v>
      </c>
      <c r="J15" s="189">
        <v>11565</v>
      </c>
      <c r="K15" s="189">
        <v>5828</v>
      </c>
      <c r="L15" s="189">
        <v>5737</v>
      </c>
      <c r="M15" s="189">
        <v>1455</v>
      </c>
      <c r="N15" s="189">
        <v>12075</v>
      </c>
      <c r="O15" s="189">
        <v>6199</v>
      </c>
      <c r="P15" s="189">
        <v>5876</v>
      </c>
      <c r="Q15" s="189">
        <v>1362</v>
      </c>
      <c r="R15" s="189">
        <v>16702</v>
      </c>
      <c r="S15" s="189">
        <v>8514</v>
      </c>
      <c r="T15" s="189">
        <v>8188</v>
      </c>
      <c r="U15" s="189">
        <v>1751</v>
      </c>
      <c r="V15" s="189">
        <v>23080</v>
      </c>
      <c r="W15" s="189">
        <v>12484</v>
      </c>
      <c r="X15" s="189">
        <v>10596</v>
      </c>
      <c r="Y15" s="189">
        <v>2916</v>
      </c>
      <c r="Z15" s="189">
        <v>11933</v>
      </c>
      <c r="AA15" s="189">
        <v>6431</v>
      </c>
      <c r="AB15" s="189">
        <v>5502</v>
      </c>
      <c r="AC15" s="189">
        <v>1406</v>
      </c>
      <c r="AD15" s="189">
        <v>9123</v>
      </c>
      <c r="AE15" s="189">
        <v>4810</v>
      </c>
      <c r="AF15" s="189">
        <v>4313</v>
      </c>
      <c r="AG15" s="189">
        <v>1114</v>
      </c>
      <c r="AH15" s="189">
        <v>10040</v>
      </c>
      <c r="AI15" s="189">
        <v>5157</v>
      </c>
      <c r="AJ15" s="189">
        <v>4883</v>
      </c>
      <c r="AK15" s="189">
        <v>1101</v>
      </c>
      <c r="AL15" s="189">
        <v>11168</v>
      </c>
      <c r="AM15" s="189">
        <v>5447</v>
      </c>
      <c r="AN15" s="189">
        <v>5721</v>
      </c>
      <c r="AO15" s="189">
        <v>957</v>
      </c>
      <c r="AP15" s="189">
        <v>13208</v>
      </c>
      <c r="AQ15" s="189">
        <v>6467</v>
      </c>
      <c r="AR15" s="189">
        <v>6741</v>
      </c>
      <c r="AS15" s="189">
        <v>959</v>
      </c>
      <c r="AT15" s="189">
        <v>14467</v>
      </c>
      <c r="AU15" s="189">
        <v>7040</v>
      </c>
      <c r="AV15" s="189">
        <v>7427</v>
      </c>
      <c r="AW15" s="189">
        <v>846</v>
      </c>
      <c r="AX15" s="189">
        <v>14100</v>
      </c>
      <c r="AY15" s="189">
        <v>7064</v>
      </c>
      <c r="AZ15" s="189">
        <v>7036</v>
      </c>
      <c r="BA15" s="189">
        <v>710</v>
      </c>
      <c r="BB15" s="189">
        <v>12203</v>
      </c>
      <c r="BC15" s="189">
        <v>5973</v>
      </c>
      <c r="BD15" s="189">
        <v>6230</v>
      </c>
      <c r="BE15" s="189">
        <v>520</v>
      </c>
      <c r="BF15" s="189">
        <v>9535</v>
      </c>
      <c r="BG15" s="189">
        <v>4608</v>
      </c>
      <c r="BH15" s="189">
        <v>4927</v>
      </c>
      <c r="BI15" s="189">
        <v>397</v>
      </c>
      <c r="BJ15" s="189">
        <v>7070</v>
      </c>
      <c r="BK15" s="189">
        <v>3407</v>
      </c>
      <c r="BL15" s="189">
        <v>3663</v>
      </c>
      <c r="BM15" s="189">
        <v>298</v>
      </c>
      <c r="BN15" s="189">
        <v>5615</v>
      </c>
      <c r="BO15" s="189">
        <v>2506</v>
      </c>
      <c r="BP15" s="189">
        <v>3109</v>
      </c>
      <c r="BQ15" s="189">
        <v>237</v>
      </c>
      <c r="BR15" s="189">
        <v>4289</v>
      </c>
      <c r="BS15" s="189">
        <v>1841</v>
      </c>
      <c r="BT15" s="189">
        <v>2448</v>
      </c>
      <c r="BU15" s="189">
        <v>167</v>
      </c>
      <c r="BV15" s="189">
        <v>4573</v>
      </c>
      <c r="BW15" s="189">
        <v>1563</v>
      </c>
      <c r="BX15" s="189">
        <v>3010</v>
      </c>
      <c r="BY15" s="189">
        <v>127</v>
      </c>
      <c r="BZ15" s="189">
        <v>404738</v>
      </c>
      <c r="CA15" s="189">
        <v>202746</v>
      </c>
      <c r="CB15" s="189">
        <v>201992</v>
      </c>
      <c r="CC15" s="189">
        <v>35826</v>
      </c>
    </row>
    <row r="16" spans="1:81" x14ac:dyDescent="0.3">
      <c r="A16" s="48">
        <v>11</v>
      </c>
      <c r="B16" s="189">
        <v>245649</v>
      </c>
      <c r="C16" s="189">
        <v>124805</v>
      </c>
      <c r="D16" s="189">
        <v>120844</v>
      </c>
      <c r="E16" s="189">
        <v>17794</v>
      </c>
      <c r="F16" s="189">
        <v>21408</v>
      </c>
      <c r="G16" s="189">
        <v>10794</v>
      </c>
      <c r="H16" s="189">
        <v>10614</v>
      </c>
      <c r="I16" s="189">
        <v>2424</v>
      </c>
      <c r="J16" s="189">
        <v>20405</v>
      </c>
      <c r="K16" s="189">
        <v>10627</v>
      </c>
      <c r="L16" s="189">
        <v>9778</v>
      </c>
      <c r="M16" s="189">
        <v>2062</v>
      </c>
      <c r="N16" s="189">
        <v>19056</v>
      </c>
      <c r="O16" s="189">
        <v>9736</v>
      </c>
      <c r="P16" s="189">
        <v>9320</v>
      </c>
      <c r="Q16" s="189">
        <v>1569</v>
      </c>
      <c r="R16" s="189">
        <v>18562</v>
      </c>
      <c r="S16" s="189">
        <v>9678</v>
      </c>
      <c r="T16" s="189">
        <v>8884</v>
      </c>
      <c r="U16" s="189">
        <v>1439</v>
      </c>
      <c r="V16" s="189">
        <v>16158</v>
      </c>
      <c r="W16" s="189">
        <v>8563</v>
      </c>
      <c r="X16" s="189">
        <v>7595</v>
      </c>
      <c r="Y16" s="189">
        <v>1108</v>
      </c>
      <c r="Z16" s="189">
        <v>17752</v>
      </c>
      <c r="AA16" s="189">
        <v>9420</v>
      </c>
      <c r="AB16" s="189">
        <v>8332</v>
      </c>
      <c r="AC16" s="189">
        <v>1160</v>
      </c>
      <c r="AD16" s="189">
        <v>15765</v>
      </c>
      <c r="AE16" s="189">
        <v>8177</v>
      </c>
      <c r="AF16" s="189">
        <v>7588</v>
      </c>
      <c r="AG16" s="189">
        <v>1134</v>
      </c>
      <c r="AH16" s="189">
        <v>15444</v>
      </c>
      <c r="AI16" s="189">
        <v>8006</v>
      </c>
      <c r="AJ16" s="189">
        <v>7438</v>
      </c>
      <c r="AK16" s="189">
        <v>1105</v>
      </c>
      <c r="AL16" s="189">
        <v>15285</v>
      </c>
      <c r="AM16" s="189">
        <v>7747</v>
      </c>
      <c r="AN16" s="189">
        <v>7538</v>
      </c>
      <c r="AO16" s="189">
        <v>1050</v>
      </c>
      <c r="AP16" s="189">
        <v>16609</v>
      </c>
      <c r="AQ16" s="189">
        <v>8293</v>
      </c>
      <c r="AR16" s="189">
        <v>8316</v>
      </c>
      <c r="AS16" s="189">
        <v>1032</v>
      </c>
      <c r="AT16" s="189">
        <v>16725</v>
      </c>
      <c r="AU16" s="189">
        <v>8463</v>
      </c>
      <c r="AV16" s="189">
        <v>8262</v>
      </c>
      <c r="AW16" s="189">
        <v>993</v>
      </c>
      <c r="AX16" s="189">
        <v>15004</v>
      </c>
      <c r="AY16" s="189">
        <v>7567</v>
      </c>
      <c r="AZ16" s="189">
        <v>7437</v>
      </c>
      <c r="BA16" s="189">
        <v>778</v>
      </c>
      <c r="BB16" s="189">
        <v>11816</v>
      </c>
      <c r="BC16" s="189">
        <v>5948</v>
      </c>
      <c r="BD16" s="189">
        <v>5868</v>
      </c>
      <c r="BE16" s="189">
        <v>623</v>
      </c>
      <c r="BF16" s="189">
        <v>8464</v>
      </c>
      <c r="BG16" s="189">
        <v>4269</v>
      </c>
      <c r="BH16" s="189">
        <v>4195</v>
      </c>
      <c r="BI16" s="189">
        <v>530</v>
      </c>
      <c r="BJ16" s="189">
        <v>6011</v>
      </c>
      <c r="BK16" s="189">
        <v>2874</v>
      </c>
      <c r="BL16" s="189">
        <v>3137</v>
      </c>
      <c r="BM16" s="189">
        <v>343</v>
      </c>
      <c r="BN16" s="189">
        <v>4594</v>
      </c>
      <c r="BO16" s="189">
        <v>2087</v>
      </c>
      <c r="BP16" s="189">
        <v>2507</v>
      </c>
      <c r="BQ16" s="189">
        <v>199</v>
      </c>
      <c r="BR16" s="189">
        <v>3513</v>
      </c>
      <c r="BS16" s="189">
        <v>1485</v>
      </c>
      <c r="BT16" s="189">
        <v>2028</v>
      </c>
      <c r="BU16" s="189">
        <v>132</v>
      </c>
      <c r="BV16" s="189">
        <v>3078</v>
      </c>
      <c r="BW16" s="189">
        <v>1071</v>
      </c>
      <c r="BX16" s="189">
        <v>2007</v>
      </c>
      <c r="BY16" s="189">
        <v>113</v>
      </c>
      <c r="BZ16" s="189">
        <v>491298</v>
      </c>
      <c r="CA16" s="189">
        <v>249610</v>
      </c>
      <c r="CB16" s="189">
        <v>241688</v>
      </c>
      <c r="CC16" s="189">
        <v>35588</v>
      </c>
    </row>
    <row r="17" spans="1:81" x14ac:dyDescent="0.3">
      <c r="A17" s="48">
        <v>12</v>
      </c>
      <c r="B17" s="189">
        <v>468684</v>
      </c>
      <c r="C17" s="189">
        <v>230971</v>
      </c>
      <c r="D17" s="189">
        <v>237713</v>
      </c>
      <c r="E17" s="189">
        <v>40540</v>
      </c>
      <c r="F17" s="189">
        <v>30669</v>
      </c>
      <c r="G17" s="189">
        <v>15703</v>
      </c>
      <c r="H17" s="189">
        <v>14966</v>
      </c>
      <c r="I17" s="189">
        <v>4488</v>
      </c>
      <c r="J17" s="189">
        <v>29429</v>
      </c>
      <c r="K17" s="189">
        <v>15104</v>
      </c>
      <c r="L17" s="189">
        <v>14325</v>
      </c>
      <c r="M17" s="189">
        <v>3946</v>
      </c>
      <c r="N17" s="189">
        <v>29867</v>
      </c>
      <c r="O17" s="189">
        <v>15385</v>
      </c>
      <c r="P17" s="189">
        <v>14482</v>
      </c>
      <c r="Q17" s="189">
        <v>3454</v>
      </c>
      <c r="R17" s="189">
        <v>32725</v>
      </c>
      <c r="S17" s="189">
        <v>16436</v>
      </c>
      <c r="T17" s="189">
        <v>16289</v>
      </c>
      <c r="U17" s="189">
        <v>3638</v>
      </c>
      <c r="V17" s="189">
        <v>34733</v>
      </c>
      <c r="W17" s="189">
        <v>17866</v>
      </c>
      <c r="X17" s="189">
        <v>16867</v>
      </c>
      <c r="Y17" s="189">
        <v>3709</v>
      </c>
      <c r="Z17" s="189">
        <v>37605</v>
      </c>
      <c r="AA17" s="189">
        <v>19255</v>
      </c>
      <c r="AB17" s="189">
        <v>18350</v>
      </c>
      <c r="AC17" s="189">
        <v>3492</v>
      </c>
      <c r="AD17" s="189">
        <v>30882</v>
      </c>
      <c r="AE17" s="189">
        <v>15563</v>
      </c>
      <c r="AF17" s="189">
        <v>15319</v>
      </c>
      <c r="AG17" s="189">
        <v>3002</v>
      </c>
      <c r="AH17" s="189">
        <v>28725</v>
      </c>
      <c r="AI17" s="189">
        <v>14640</v>
      </c>
      <c r="AJ17" s="189">
        <v>14085</v>
      </c>
      <c r="AK17" s="189">
        <v>2615</v>
      </c>
      <c r="AL17" s="189">
        <v>29169</v>
      </c>
      <c r="AM17" s="189">
        <v>14746</v>
      </c>
      <c r="AN17" s="189">
        <v>14423</v>
      </c>
      <c r="AO17" s="189">
        <v>2217</v>
      </c>
      <c r="AP17" s="189">
        <v>33831</v>
      </c>
      <c r="AQ17" s="189">
        <v>16593</v>
      </c>
      <c r="AR17" s="189">
        <v>17238</v>
      </c>
      <c r="AS17" s="189">
        <v>2269</v>
      </c>
      <c r="AT17" s="189">
        <v>33851</v>
      </c>
      <c r="AU17" s="189">
        <v>16595</v>
      </c>
      <c r="AV17" s="189">
        <v>17256</v>
      </c>
      <c r="AW17" s="189">
        <v>2098</v>
      </c>
      <c r="AX17" s="189">
        <v>31046</v>
      </c>
      <c r="AY17" s="189">
        <v>15051</v>
      </c>
      <c r="AZ17" s="189">
        <v>15995</v>
      </c>
      <c r="BA17" s="189">
        <v>1779</v>
      </c>
      <c r="BB17" s="189">
        <v>25200</v>
      </c>
      <c r="BC17" s="189">
        <v>12328</v>
      </c>
      <c r="BD17" s="189">
        <v>12872</v>
      </c>
      <c r="BE17" s="189">
        <v>1304</v>
      </c>
      <c r="BF17" s="189">
        <v>17795</v>
      </c>
      <c r="BG17" s="189">
        <v>8422</v>
      </c>
      <c r="BH17" s="189">
        <v>9373</v>
      </c>
      <c r="BI17" s="189">
        <v>867</v>
      </c>
      <c r="BJ17" s="189">
        <v>13534</v>
      </c>
      <c r="BK17" s="189">
        <v>6119</v>
      </c>
      <c r="BL17" s="189">
        <v>7415</v>
      </c>
      <c r="BM17" s="189">
        <v>595</v>
      </c>
      <c r="BN17" s="189">
        <v>11324</v>
      </c>
      <c r="BO17" s="189">
        <v>4913</v>
      </c>
      <c r="BP17" s="189">
        <v>6411</v>
      </c>
      <c r="BQ17" s="189">
        <v>508</v>
      </c>
      <c r="BR17" s="189">
        <v>8751</v>
      </c>
      <c r="BS17" s="189">
        <v>3329</v>
      </c>
      <c r="BT17" s="189">
        <v>5422</v>
      </c>
      <c r="BU17" s="189">
        <v>266</v>
      </c>
      <c r="BV17" s="189">
        <v>9548</v>
      </c>
      <c r="BW17" s="189">
        <v>2923</v>
      </c>
      <c r="BX17" s="189">
        <v>6625</v>
      </c>
      <c r="BY17" s="189">
        <v>293</v>
      </c>
      <c r="BZ17" s="189">
        <v>937368</v>
      </c>
      <c r="CA17" s="189">
        <v>461942</v>
      </c>
      <c r="CB17" s="189">
        <v>475426</v>
      </c>
      <c r="CC17" s="189">
        <v>81080</v>
      </c>
    </row>
    <row r="18" spans="1:81" x14ac:dyDescent="0.3">
      <c r="A18" s="48" t="s">
        <v>182</v>
      </c>
      <c r="B18" s="189">
        <v>6664195</v>
      </c>
      <c r="C18" s="189">
        <v>3328953</v>
      </c>
      <c r="D18" s="189">
        <v>3335242</v>
      </c>
      <c r="E18" s="189">
        <v>1079893</v>
      </c>
      <c r="F18" s="189">
        <v>450617</v>
      </c>
      <c r="G18" s="189">
        <v>230126</v>
      </c>
      <c r="H18" s="189">
        <v>220491</v>
      </c>
      <c r="I18" s="189">
        <v>106059</v>
      </c>
      <c r="J18" s="189">
        <v>429163</v>
      </c>
      <c r="K18" s="189">
        <v>218951</v>
      </c>
      <c r="L18" s="189">
        <v>210212</v>
      </c>
      <c r="M18" s="189">
        <v>92099</v>
      </c>
      <c r="N18" s="189">
        <v>421743</v>
      </c>
      <c r="O18" s="189">
        <v>215763</v>
      </c>
      <c r="P18" s="189">
        <v>205980</v>
      </c>
      <c r="Q18" s="189">
        <v>81645</v>
      </c>
      <c r="R18" s="189">
        <v>445124</v>
      </c>
      <c r="S18" s="189">
        <v>230108</v>
      </c>
      <c r="T18" s="189">
        <v>215016</v>
      </c>
      <c r="U18" s="189">
        <v>82272</v>
      </c>
      <c r="V18" s="189">
        <v>467561</v>
      </c>
      <c r="W18" s="189">
        <v>244970</v>
      </c>
      <c r="X18" s="189">
        <v>222591</v>
      </c>
      <c r="Y18" s="189">
        <v>85153</v>
      </c>
      <c r="Z18" s="189">
        <v>503110</v>
      </c>
      <c r="AA18" s="189">
        <v>259929</v>
      </c>
      <c r="AB18" s="189">
        <v>243181</v>
      </c>
      <c r="AC18" s="189">
        <v>93305</v>
      </c>
      <c r="AD18" s="189">
        <v>445663</v>
      </c>
      <c r="AE18" s="189">
        <v>227201</v>
      </c>
      <c r="AF18" s="189">
        <v>218462</v>
      </c>
      <c r="AG18" s="189">
        <v>84970</v>
      </c>
      <c r="AH18" s="189">
        <v>452661</v>
      </c>
      <c r="AI18" s="189">
        <v>230874</v>
      </c>
      <c r="AJ18" s="189">
        <v>221787</v>
      </c>
      <c r="AK18" s="189">
        <v>82698</v>
      </c>
      <c r="AL18" s="189">
        <v>453660</v>
      </c>
      <c r="AM18" s="189">
        <v>229613</v>
      </c>
      <c r="AN18" s="189">
        <v>224047</v>
      </c>
      <c r="AO18" s="189">
        <v>72267</v>
      </c>
      <c r="AP18" s="189">
        <v>497121</v>
      </c>
      <c r="AQ18" s="189">
        <v>248229</v>
      </c>
      <c r="AR18" s="189">
        <v>248892</v>
      </c>
      <c r="AS18" s="189">
        <v>70119</v>
      </c>
      <c r="AT18" s="189">
        <v>489983</v>
      </c>
      <c r="AU18" s="189">
        <v>242950</v>
      </c>
      <c r="AV18" s="189">
        <v>247033</v>
      </c>
      <c r="AW18" s="189">
        <v>63353</v>
      </c>
      <c r="AX18" s="189">
        <v>440185</v>
      </c>
      <c r="AY18" s="189">
        <v>216036</v>
      </c>
      <c r="AZ18" s="189">
        <v>224149</v>
      </c>
      <c r="BA18" s="189">
        <v>51617</v>
      </c>
      <c r="BB18" s="189">
        <v>361402</v>
      </c>
      <c r="BC18" s="189">
        <v>176469</v>
      </c>
      <c r="BD18" s="189">
        <v>184933</v>
      </c>
      <c r="BE18" s="189">
        <v>38044</v>
      </c>
      <c r="BF18" s="189">
        <v>255108</v>
      </c>
      <c r="BG18" s="189">
        <v>124136</v>
      </c>
      <c r="BH18" s="189">
        <v>130972</v>
      </c>
      <c r="BI18" s="189">
        <v>26319</v>
      </c>
      <c r="BJ18" s="189">
        <v>182380</v>
      </c>
      <c r="BK18" s="189">
        <v>85912</v>
      </c>
      <c r="BL18" s="189">
        <v>96468</v>
      </c>
      <c r="BM18" s="189">
        <v>19193</v>
      </c>
      <c r="BN18" s="189">
        <v>143361</v>
      </c>
      <c r="BO18" s="189">
        <v>64013</v>
      </c>
      <c r="BP18" s="189">
        <v>79348</v>
      </c>
      <c r="BQ18" s="189">
        <v>13747</v>
      </c>
      <c r="BR18" s="189">
        <v>112537</v>
      </c>
      <c r="BS18" s="189">
        <v>46064</v>
      </c>
      <c r="BT18" s="189">
        <v>66473</v>
      </c>
      <c r="BU18" s="189">
        <v>9368</v>
      </c>
      <c r="BV18" s="189">
        <v>112816</v>
      </c>
      <c r="BW18" s="189">
        <v>37609</v>
      </c>
      <c r="BX18" s="189">
        <v>75207</v>
      </c>
      <c r="BY18" s="189">
        <v>7665</v>
      </c>
      <c r="BZ18" s="189">
        <v>13328390</v>
      </c>
      <c r="CA18" s="189">
        <v>6657906</v>
      </c>
      <c r="CB18" s="189">
        <v>6670484</v>
      </c>
      <c r="CC18" s="189">
        <v>2159786</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G37" sqref="G37"/>
    </sheetView>
  </sheetViews>
  <sheetFormatPr defaultColWidth="8.796875" defaultRowHeight="15" x14ac:dyDescent="0.25"/>
  <cols>
    <col min="1" max="1" width="8.796875" style="182"/>
    <col min="2" max="9" width="11" style="182" customWidth="1"/>
    <col min="10" max="10" width="13.59765625" style="182" customWidth="1"/>
    <col min="11" max="11" width="16.69921875" style="182" customWidth="1"/>
    <col min="12" max="16384" width="8.796875" style="182"/>
  </cols>
  <sheetData>
    <row r="1" spans="1:12" x14ac:dyDescent="0.25">
      <c r="A1" s="182" t="s">
        <v>154</v>
      </c>
    </row>
    <row r="2" spans="1:12" x14ac:dyDescent="0.25">
      <c r="A2" s="182" t="s">
        <v>153</v>
      </c>
    </row>
    <row r="3" spans="1:12" x14ac:dyDescent="0.25">
      <c r="A3" s="182" t="s">
        <v>152</v>
      </c>
    </row>
    <row r="4" spans="1:12" ht="30" x14ac:dyDescent="0.25">
      <c r="B4" s="186" t="s">
        <v>151</v>
      </c>
      <c r="C4" s="186" t="s">
        <v>150</v>
      </c>
      <c r="D4" s="186" t="s">
        <v>149</v>
      </c>
      <c r="E4" s="186" t="s">
        <v>148</v>
      </c>
      <c r="F4" s="186" t="s">
        <v>147</v>
      </c>
      <c r="G4" s="186" t="s">
        <v>146</v>
      </c>
      <c r="H4" s="186" t="s">
        <v>145</v>
      </c>
      <c r="I4" s="186" t="s">
        <v>144</v>
      </c>
      <c r="J4" s="182" t="s">
        <v>301</v>
      </c>
      <c r="K4" s="186" t="s">
        <v>143</v>
      </c>
      <c r="L4" s="182" t="s">
        <v>28</v>
      </c>
    </row>
    <row r="5" spans="1:12" x14ac:dyDescent="0.25">
      <c r="A5" s="182" t="s">
        <v>142</v>
      </c>
      <c r="B5" s="185">
        <v>232378</v>
      </c>
      <c r="C5" s="185">
        <v>4667</v>
      </c>
      <c r="D5" s="185">
        <v>13824</v>
      </c>
      <c r="E5" s="185">
        <v>59419</v>
      </c>
      <c r="F5" s="185">
        <v>65870</v>
      </c>
      <c r="G5" s="185">
        <v>24000</v>
      </c>
      <c r="H5" s="185">
        <v>39843</v>
      </c>
      <c r="I5" s="185">
        <v>24755</v>
      </c>
      <c r="J5" s="185">
        <f>SUM(E5:I5)</f>
        <v>213887</v>
      </c>
      <c r="K5" s="185">
        <f t="shared" ref="K5:K16" si="0">H5+I5</f>
        <v>64598</v>
      </c>
      <c r="L5" s="357">
        <v>2.3E-2</v>
      </c>
    </row>
    <row r="6" spans="1:12" x14ac:dyDescent="0.25">
      <c r="A6" s="182" t="s">
        <v>141</v>
      </c>
      <c r="B6" s="185">
        <v>316438</v>
      </c>
      <c r="C6" s="185">
        <v>9789</v>
      </c>
      <c r="D6" s="185">
        <v>25435</v>
      </c>
      <c r="E6" s="185">
        <v>92255</v>
      </c>
      <c r="F6" s="185">
        <v>84342</v>
      </c>
      <c r="G6" s="185">
        <v>29097</v>
      </c>
      <c r="H6" s="185">
        <v>47478</v>
      </c>
      <c r="I6" s="185">
        <v>28042</v>
      </c>
      <c r="J6" s="185">
        <f t="shared" ref="J6:J16" si="1">SUM(E6:I6)</f>
        <v>281214</v>
      </c>
      <c r="K6" s="185">
        <f t="shared" si="0"/>
        <v>75520</v>
      </c>
      <c r="L6" s="357">
        <v>3.7999999999999999E-2</v>
      </c>
    </row>
    <row r="7" spans="1:12" x14ac:dyDescent="0.25">
      <c r="A7" s="182" t="s">
        <v>140</v>
      </c>
      <c r="B7" s="185">
        <v>263025</v>
      </c>
      <c r="C7" s="185">
        <v>9298</v>
      </c>
      <c r="D7" s="185">
        <v>16470</v>
      </c>
      <c r="E7" s="185">
        <v>66642</v>
      </c>
      <c r="F7" s="185">
        <v>68631</v>
      </c>
      <c r="G7" s="185">
        <v>25824</v>
      </c>
      <c r="H7" s="185">
        <v>48659</v>
      </c>
      <c r="I7" s="185">
        <v>27501</v>
      </c>
      <c r="J7" s="185">
        <f t="shared" si="1"/>
        <v>237257</v>
      </c>
      <c r="K7" s="185">
        <f t="shared" si="0"/>
        <v>76160</v>
      </c>
      <c r="L7" s="357">
        <v>3.9E-2</v>
      </c>
    </row>
    <row r="8" spans="1:12" x14ac:dyDescent="0.25">
      <c r="A8" s="182" t="s">
        <v>139</v>
      </c>
      <c r="B8" s="185">
        <v>444975</v>
      </c>
      <c r="C8" s="185">
        <v>12216</v>
      </c>
      <c r="D8" s="185">
        <v>29975</v>
      </c>
      <c r="E8" s="185">
        <v>115594</v>
      </c>
      <c r="F8" s="185">
        <v>117160</v>
      </c>
      <c r="G8" s="185">
        <v>45960</v>
      </c>
      <c r="H8" s="185">
        <v>87243</v>
      </c>
      <c r="I8" s="185">
        <v>36827</v>
      </c>
      <c r="J8" s="185">
        <f t="shared" si="1"/>
        <v>402784</v>
      </c>
      <c r="K8" s="185">
        <f t="shared" si="0"/>
        <v>124070</v>
      </c>
      <c r="L8" s="357">
        <v>4.4999999999999998E-2</v>
      </c>
    </row>
    <row r="9" spans="1:12" x14ac:dyDescent="0.25">
      <c r="A9" s="182" t="s">
        <v>138</v>
      </c>
      <c r="B9" s="185">
        <v>1296185</v>
      </c>
      <c r="C9" s="185">
        <v>43683</v>
      </c>
      <c r="D9" s="185">
        <v>62165</v>
      </c>
      <c r="E9" s="185">
        <v>234272</v>
      </c>
      <c r="F9" s="185">
        <v>270465</v>
      </c>
      <c r="G9" s="185">
        <v>104660</v>
      </c>
      <c r="H9" s="185">
        <v>372843</v>
      </c>
      <c r="I9" s="185">
        <v>208097</v>
      </c>
      <c r="J9" s="185">
        <f t="shared" si="1"/>
        <v>1190337</v>
      </c>
      <c r="K9" s="185">
        <f t="shared" si="0"/>
        <v>580940</v>
      </c>
      <c r="L9" s="357">
        <v>3.2000000000000001E-2</v>
      </c>
    </row>
    <row r="10" spans="1:12" x14ac:dyDescent="0.25">
      <c r="A10" s="182" t="s">
        <v>137</v>
      </c>
      <c r="B10" s="185">
        <v>497186</v>
      </c>
      <c r="C10" s="185">
        <v>15718</v>
      </c>
      <c r="D10" s="185">
        <v>35518</v>
      </c>
      <c r="E10" s="185">
        <v>147771</v>
      </c>
      <c r="F10" s="185">
        <v>133025</v>
      </c>
      <c r="G10" s="185">
        <v>49214</v>
      </c>
      <c r="H10" s="185">
        <v>76704</v>
      </c>
      <c r="I10" s="185">
        <v>39236</v>
      </c>
      <c r="J10" s="185">
        <f t="shared" si="1"/>
        <v>445950</v>
      </c>
      <c r="K10" s="185">
        <f t="shared" si="0"/>
        <v>115940</v>
      </c>
      <c r="L10" s="357">
        <v>5.8000000000000003E-2</v>
      </c>
    </row>
    <row r="11" spans="1:12" x14ac:dyDescent="0.25">
      <c r="A11" s="182" t="s">
        <v>136</v>
      </c>
      <c r="B11" s="185">
        <v>340383</v>
      </c>
      <c r="C11" s="185">
        <v>9754</v>
      </c>
      <c r="D11" s="185">
        <v>25285</v>
      </c>
      <c r="E11" s="185">
        <v>93585</v>
      </c>
      <c r="F11" s="185">
        <v>98496</v>
      </c>
      <c r="G11" s="185">
        <v>34242</v>
      </c>
      <c r="H11" s="185">
        <v>52228</v>
      </c>
      <c r="I11" s="185">
        <v>26793</v>
      </c>
      <c r="J11" s="185">
        <f t="shared" si="1"/>
        <v>305344</v>
      </c>
      <c r="K11" s="185">
        <f t="shared" si="0"/>
        <v>79021</v>
      </c>
      <c r="L11" s="357">
        <v>3.6999999999999998E-2</v>
      </c>
    </row>
    <row r="12" spans="1:12" x14ac:dyDescent="0.25">
      <c r="A12" s="182" t="s">
        <v>135</v>
      </c>
      <c r="B12" s="185">
        <v>154208</v>
      </c>
      <c r="C12" s="185">
        <v>17743</v>
      </c>
      <c r="D12" s="185">
        <v>15685</v>
      </c>
      <c r="E12" s="185">
        <v>44326</v>
      </c>
      <c r="F12" s="185">
        <v>34651</v>
      </c>
      <c r="G12" s="185">
        <v>14061</v>
      </c>
      <c r="H12" s="185">
        <v>18272</v>
      </c>
      <c r="I12" s="185">
        <v>9470</v>
      </c>
      <c r="J12" s="185">
        <f t="shared" si="1"/>
        <v>120780</v>
      </c>
      <c r="K12" s="185">
        <f t="shared" si="0"/>
        <v>27742</v>
      </c>
      <c r="L12" s="357">
        <v>5.6000000000000001E-2</v>
      </c>
    </row>
    <row r="13" spans="1:12" x14ac:dyDescent="0.25">
      <c r="A13" s="182" t="s">
        <v>134</v>
      </c>
      <c r="B13" s="185">
        <v>179957</v>
      </c>
      <c r="C13" s="185">
        <v>23884</v>
      </c>
      <c r="D13" s="185">
        <v>20598</v>
      </c>
      <c r="E13" s="185">
        <v>52761</v>
      </c>
      <c r="F13" s="185">
        <v>39081</v>
      </c>
      <c r="G13" s="185">
        <v>11678</v>
      </c>
      <c r="H13" s="185">
        <v>19927</v>
      </c>
      <c r="I13" s="185">
        <v>12028</v>
      </c>
      <c r="J13" s="185">
        <f t="shared" si="1"/>
        <v>135475</v>
      </c>
      <c r="K13" s="185">
        <f t="shared" si="0"/>
        <v>31955</v>
      </c>
      <c r="L13" s="358">
        <v>5.8000000000000003E-2</v>
      </c>
    </row>
    <row r="14" spans="1:12" x14ac:dyDescent="0.25">
      <c r="A14" s="182" t="s">
        <v>133</v>
      </c>
      <c r="B14" s="185">
        <v>299417</v>
      </c>
      <c r="C14" s="185">
        <v>6271</v>
      </c>
      <c r="D14" s="185">
        <v>19206</v>
      </c>
      <c r="E14" s="185">
        <v>76422</v>
      </c>
      <c r="F14" s="185">
        <v>80862</v>
      </c>
      <c r="G14" s="185">
        <v>35148</v>
      </c>
      <c r="H14" s="185">
        <v>52134</v>
      </c>
      <c r="I14" s="185">
        <v>29374</v>
      </c>
      <c r="J14" s="185">
        <f t="shared" si="1"/>
        <v>273940</v>
      </c>
      <c r="K14" s="185">
        <f t="shared" si="0"/>
        <v>81508</v>
      </c>
      <c r="L14" s="358">
        <v>2.1000000000000001E-2</v>
      </c>
    </row>
    <row r="15" spans="1:12" x14ac:dyDescent="0.25">
      <c r="A15" s="182" t="s">
        <v>132</v>
      </c>
      <c r="B15" s="185">
        <v>124751</v>
      </c>
      <c r="C15" s="185">
        <v>4784</v>
      </c>
      <c r="D15" s="185">
        <v>9420</v>
      </c>
      <c r="E15" s="185">
        <v>37189</v>
      </c>
      <c r="F15" s="185">
        <v>31444</v>
      </c>
      <c r="G15" s="185">
        <v>12074</v>
      </c>
      <c r="H15" s="185">
        <v>18188</v>
      </c>
      <c r="I15" s="185">
        <v>11652</v>
      </c>
      <c r="J15" s="185">
        <f t="shared" si="1"/>
        <v>110547</v>
      </c>
      <c r="K15" s="185">
        <f t="shared" si="0"/>
        <v>29840</v>
      </c>
      <c r="L15" s="358">
        <v>0.04</v>
      </c>
    </row>
    <row r="16" spans="1:12" x14ac:dyDescent="0.25">
      <c r="A16" s="182" t="s">
        <v>131</v>
      </c>
      <c r="B16" s="185">
        <v>140535</v>
      </c>
      <c r="C16" s="185">
        <v>13670</v>
      </c>
      <c r="D16" s="185">
        <v>11249</v>
      </c>
      <c r="E16" s="185">
        <v>36102</v>
      </c>
      <c r="F16" s="185">
        <v>33645</v>
      </c>
      <c r="G16" s="185">
        <v>12624</v>
      </c>
      <c r="H16" s="185">
        <v>20153</v>
      </c>
      <c r="I16" s="185">
        <v>13092</v>
      </c>
      <c r="J16" s="185">
        <f t="shared" si="1"/>
        <v>115616</v>
      </c>
      <c r="K16" s="185">
        <f t="shared" si="0"/>
        <v>33245</v>
      </c>
      <c r="L16" s="358">
        <v>3.7999999999999999E-2</v>
      </c>
    </row>
    <row r="17" spans="1:12" x14ac:dyDescent="0.25">
      <c r="L17" s="202"/>
    </row>
    <row r="18" spans="1:12" ht="18.75" x14ac:dyDescent="0.3">
      <c r="A18" s="182" t="s">
        <v>142</v>
      </c>
      <c r="B18" s="184">
        <f t="shared" ref="B18:I29" si="2">B5/$B5</f>
        <v>1</v>
      </c>
      <c r="C18" s="184">
        <f t="shared" si="2"/>
        <v>2.0083656800557712E-2</v>
      </c>
      <c r="D18" s="184">
        <f t="shared" si="2"/>
        <v>5.94892803965952E-2</v>
      </c>
      <c r="E18" s="184">
        <f t="shared" si="2"/>
        <v>0.25569976503799846</v>
      </c>
      <c r="F18" s="184">
        <f t="shared" si="2"/>
        <v>0.28346056855640378</v>
      </c>
      <c r="G18" s="184">
        <f t="shared" si="2"/>
        <v>0.10328000068853334</v>
      </c>
      <c r="H18" s="184">
        <f t="shared" si="2"/>
        <v>0.17145771114305142</v>
      </c>
      <c r="I18" s="184">
        <f t="shared" si="2"/>
        <v>0.10652901737686012</v>
      </c>
      <c r="K18" s="184">
        <f t="shared" ref="K18:K29" si="3">H18+I18</f>
        <v>0.27798672851991152</v>
      </c>
    </row>
    <row r="19" spans="1:12" ht="18.75" x14ac:dyDescent="0.3">
      <c r="A19" s="182" t="s">
        <v>141</v>
      </c>
      <c r="B19" s="184">
        <f t="shared" si="2"/>
        <v>1</v>
      </c>
      <c r="C19" s="184">
        <f t="shared" si="2"/>
        <v>3.0934969883515885E-2</v>
      </c>
      <c r="D19" s="184">
        <f t="shared" si="2"/>
        <v>8.0379094798981157E-2</v>
      </c>
      <c r="E19" s="184">
        <f t="shared" si="2"/>
        <v>0.2915421030344017</v>
      </c>
      <c r="F19" s="184">
        <f t="shared" si="2"/>
        <v>0.26653562467213165</v>
      </c>
      <c r="G19" s="184">
        <f t="shared" si="2"/>
        <v>9.1951661936935519E-2</v>
      </c>
      <c r="H19" s="184">
        <f t="shared" si="2"/>
        <v>0.15003887017362011</v>
      </c>
      <c r="I19" s="184">
        <f t="shared" si="2"/>
        <v>8.8617675500413981E-2</v>
      </c>
      <c r="K19" s="184">
        <f t="shared" si="3"/>
        <v>0.2386565456740341</v>
      </c>
    </row>
    <row r="20" spans="1:12" ht="18.75" x14ac:dyDescent="0.3">
      <c r="A20" s="182" t="s">
        <v>140</v>
      </c>
      <c r="B20" s="184">
        <f t="shared" si="2"/>
        <v>1</v>
      </c>
      <c r="C20" s="184">
        <f t="shared" si="2"/>
        <v>3.5350251877197987E-2</v>
      </c>
      <c r="D20" s="184">
        <f t="shared" si="2"/>
        <v>6.261762189905902E-2</v>
      </c>
      <c r="E20" s="184">
        <f t="shared" si="2"/>
        <v>0.2533675506130596</v>
      </c>
      <c r="F20" s="184">
        <f t="shared" si="2"/>
        <v>0.26092956943256346</v>
      </c>
      <c r="G20" s="184">
        <f t="shared" si="2"/>
        <v>9.8180781294553751E-2</v>
      </c>
      <c r="H20" s="184">
        <f t="shared" si="2"/>
        <v>0.18499762380001902</v>
      </c>
      <c r="I20" s="184">
        <f t="shared" si="2"/>
        <v>0.1045566010835472</v>
      </c>
      <c r="K20" s="184">
        <f t="shared" si="3"/>
        <v>0.28955422488356619</v>
      </c>
    </row>
    <row r="21" spans="1:12" ht="18.75" x14ac:dyDescent="0.3">
      <c r="A21" s="182" t="s">
        <v>139</v>
      </c>
      <c r="B21" s="184">
        <f t="shared" si="2"/>
        <v>1</v>
      </c>
      <c r="C21" s="184">
        <f t="shared" si="2"/>
        <v>2.7453227709421879E-2</v>
      </c>
      <c r="D21" s="184">
        <f t="shared" si="2"/>
        <v>6.7363335018821288E-2</v>
      </c>
      <c r="E21" s="184">
        <f t="shared" si="2"/>
        <v>0.25977639193213103</v>
      </c>
      <c r="F21" s="184">
        <f t="shared" si="2"/>
        <v>0.26329569076914433</v>
      </c>
      <c r="G21" s="184">
        <f t="shared" si="2"/>
        <v>0.10328670150008427</v>
      </c>
      <c r="H21" s="184">
        <f t="shared" si="2"/>
        <v>0.19606270015169391</v>
      </c>
      <c r="I21" s="184">
        <f t="shared" si="2"/>
        <v>8.2761952918703294E-2</v>
      </c>
      <c r="K21" s="184">
        <f t="shared" si="3"/>
        <v>0.27882465307039722</v>
      </c>
    </row>
    <row r="22" spans="1:12" ht="18.75" x14ac:dyDescent="0.3">
      <c r="A22" s="182" t="s">
        <v>138</v>
      </c>
      <c r="B22" s="184">
        <f t="shared" si="2"/>
        <v>1</v>
      </c>
      <c r="C22" s="184">
        <f t="shared" si="2"/>
        <v>3.3701207775124691E-2</v>
      </c>
      <c r="D22" s="184">
        <f t="shared" si="2"/>
        <v>4.7959974849269199E-2</v>
      </c>
      <c r="E22" s="184">
        <f t="shared" si="2"/>
        <v>0.18073963207412522</v>
      </c>
      <c r="F22" s="184">
        <f t="shared" si="2"/>
        <v>0.2086623437240826</v>
      </c>
      <c r="G22" s="184">
        <f t="shared" si="2"/>
        <v>8.0744646790388716E-2</v>
      </c>
      <c r="H22" s="184">
        <f t="shared" si="2"/>
        <v>0.2876464393585792</v>
      </c>
      <c r="I22" s="184">
        <f t="shared" si="2"/>
        <v>0.16054575542843036</v>
      </c>
      <c r="K22" s="184">
        <f t="shared" si="3"/>
        <v>0.44819219478700956</v>
      </c>
    </row>
    <row r="23" spans="1:12" ht="18.75" x14ac:dyDescent="0.3">
      <c r="A23" s="182" t="s">
        <v>137</v>
      </c>
      <c r="B23" s="184">
        <f t="shared" si="2"/>
        <v>1</v>
      </c>
      <c r="C23" s="184">
        <f t="shared" si="2"/>
        <v>3.1613923159541903E-2</v>
      </c>
      <c r="D23" s="184">
        <f t="shared" si="2"/>
        <v>7.1438053364334481E-2</v>
      </c>
      <c r="E23" s="184">
        <f t="shared" si="2"/>
        <v>0.2972147244693133</v>
      </c>
      <c r="F23" s="184">
        <f t="shared" si="2"/>
        <v>0.2675558040652794</v>
      </c>
      <c r="G23" s="184">
        <f t="shared" si="2"/>
        <v>9.8985088075689981E-2</v>
      </c>
      <c r="H23" s="184">
        <f t="shared" si="2"/>
        <v>0.15427626682971765</v>
      </c>
      <c r="I23" s="184">
        <f t="shared" si="2"/>
        <v>7.8916140036123308E-2</v>
      </c>
      <c r="K23" s="184">
        <f t="shared" si="3"/>
        <v>0.23319240686584097</v>
      </c>
    </row>
    <row r="24" spans="1:12" ht="18.75" x14ac:dyDescent="0.3">
      <c r="A24" s="182" t="s">
        <v>136</v>
      </c>
      <c r="B24" s="184">
        <f t="shared" si="2"/>
        <v>1</v>
      </c>
      <c r="C24" s="184">
        <f t="shared" si="2"/>
        <v>2.8655955203403225E-2</v>
      </c>
      <c r="D24" s="184">
        <f t="shared" si="2"/>
        <v>7.4283968353296134E-2</v>
      </c>
      <c r="E24" s="184">
        <f t="shared" si="2"/>
        <v>0.27494028785221353</v>
      </c>
      <c r="F24" s="184">
        <f t="shared" si="2"/>
        <v>0.28936815293360713</v>
      </c>
      <c r="G24" s="184">
        <f t="shared" si="2"/>
        <v>0.10059844351803704</v>
      </c>
      <c r="H24" s="184">
        <f t="shared" si="2"/>
        <v>0.15343892027510186</v>
      </c>
      <c r="I24" s="184">
        <f t="shared" si="2"/>
        <v>7.8714271864341046E-2</v>
      </c>
      <c r="K24" s="184">
        <f t="shared" si="3"/>
        <v>0.23215319213944291</v>
      </c>
    </row>
    <row r="25" spans="1:12" ht="18.75" x14ac:dyDescent="0.3">
      <c r="A25" s="182" t="s">
        <v>135</v>
      </c>
      <c r="B25" s="184">
        <f t="shared" si="2"/>
        <v>1</v>
      </c>
      <c r="C25" s="184">
        <f t="shared" si="2"/>
        <v>0.11505888151068687</v>
      </c>
      <c r="D25" s="184">
        <f t="shared" si="2"/>
        <v>0.10171327038804731</v>
      </c>
      <c r="E25" s="184">
        <f t="shared" si="2"/>
        <v>0.28744293421871758</v>
      </c>
      <c r="F25" s="184">
        <f t="shared" si="2"/>
        <v>0.22470299854741649</v>
      </c>
      <c r="G25" s="184">
        <f t="shared" si="2"/>
        <v>9.1182039842290938E-2</v>
      </c>
      <c r="H25" s="184">
        <f t="shared" si="2"/>
        <v>0.11848931313550529</v>
      </c>
      <c r="I25" s="184">
        <f t="shared" si="2"/>
        <v>6.1410562357335545E-2</v>
      </c>
      <c r="K25" s="184">
        <f t="shared" si="3"/>
        <v>0.17989987549284084</v>
      </c>
    </row>
    <row r="26" spans="1:12" ht="18.75" x14ac:dyDescent="0.3">
      <c r="A26" s="182" t="s">
        <v>134</v>
      </c>
      <c r="B26" s="184">
        <f t="shared" si="2"/>
        <v>1</v>
      </c>
      <c r="C26" s="184">
        <f t="shared" si="2"/>
        <v>0.13272059436420922</v>
      </c>
      <c r="D26" s="184">
        <f t="shared" si="2"/>
        <v>0.11446067671721578</v>
      </c>
      <c r="E26" s="184">
        <f t="shared" si="2"/>
        <v>0.29318670571303146</v>
      </c>
      <c r="F26" s="184">
        <f t="shared" si="2"/>
        <v>0.21716854581927905</v>
      </c>
      <c r="G26" s="184">
        <f t="shared" si="2"/>
        <v>6.4893280061347994E-2</v>
      </c>
      <c r="H26" s="184">
        <f t="shared" si="2"/>
        <v>0.11073200820195936</v>
      </c>
      <c r="I26" s="184">
        <f t="shared" si="2"/>
        <v>6.6838189122957151E-2</v>
      </c>
      <c r="K26" s="184">
        <f t="shared" si="3"/>
        <v>0.17757019732491652</v>
      </c>
    </row>
    <row r="27" spans="1:12" ht="18.75" x14ac:dyDescent="0.3">
      <c r="A27" s="182" t="s">
        <v>133</v>
      </c>
      <c r="B27" s="184">
        <f t="shared" si="2"/>
        <v>1</v>
      </c>
      <c r="C27" s="184">
        <f t="shared" si="2"/>
        <v>2.0944034573855193E-2</v>
      </c>
      <c r="D27" s="184">
        <f t="shared" si="2"/>
        <v>6.414465444513838E-2</v>
      </c>
      <c r="E27" s="184">
        <f t="shared" si="2"/>
        <v>0.2552360086434638</v>
      </c>
      <c r="F27" s="184">
        <f t="shared" si="2"/>
        <v>0.27006482597848486</v>
      </c>
      <c r="G27" s="184">
        <f t="shared" si="2"/>
        <v>0.11738812425480183</v>
      </c>
      <c r="H27" s="184">
        <f t="shared" si="2"/>
        <v>0.17411837003242969</v>
      </c>
      <c r="I27" s="184">
        <f t="shared" si="2"/>
        <v>9.8103982071826246E-2</v>
      </c>
      <c r="K27" s="184">
        <f t="shared" si="3"/>
        <v>0.27222235210425594</v>
      </c>
    </row>
    <row r="28" spans="1:12" ht="18.75" x14ac:dyDescent="0.3">
      <c r="A28" s="182" t="s">
        <v>132</v>
      </c>
      <c r="B28" s="184">
        <f t="shared" si="2"/>
        <v>1</v>
      </c>
      <c r="C28" s="184">
        <f t="shared" si="2"/>
        <v>3.8348389992865786E-2</v>
      </c>
      <c r="D28" s="184">
        <f t="shared" si="2"/>
        <v>7.5510416750166329E-2</v>
      </c>
      <c r="E28" s="184">
        <f t="shared" si="2"/>
        <v>0.29810582680699954</v>
      </c>
      <c r="F28" s="184">
        <f t="shared" si="2"/>
        <v>0.25205409175076754</v>
      </c>
      <c r="G28" s="184">
        <f t="shared" si="2"/>
        <v>9.6784795312262029E-2</v>
      </c>
      <c r="H28" s="184">
        <f t="shared" si="2"/>
        <v>0.14579442248959928</v>
      </c>
      <c r="I28" s="184">
        <f t="shared" si="2"/>
        <v>9.3402056897339505E-2</v>
      </c>
      <c r="K28" s="184">
        <f t="shared" si="3"/>
        <v>0.23919647938693878</v>
      </c>
    </row>
    <row r="29" spans="1:12" ht="18.75" x14ac:dyDescent="0.3">
      <c r="A29" s="182" t="s">
        <v>131</v>
      </c>
      <c r="B29" s="184">
        <f t="shared" si="2"/>
        <v>1</v>
      </c>
      <c r="C29" s="184">
        <f t="shared" si="2"/>
        <v>9.7271142420037718E-2</v>
      </c>
      <c r="D29" s="184">
        <f t="shared" si="2"/>
        <v>8.0044117123848152E-2</v>
      </c>
      <c r="E29" s="184">
        <f t="shared" si="2"/>
        <v>0.2568897427687053</v>
      </c>
      <c r="F29" s="184">
        <f t="shared" si="2"/>
        <v>0.23940655352759099</v>
      </c>
      <c r="G29" s="184">
        <f t="shared" si="2"/>
        <v>8.9828156686946312E-2</v>
      </c>
      <c r="H29" s="184">
        <f t="shared" si="2"/>
        <v>0.14340199950190344</v>
      </c>
      <c r="I29" s="184">
        <f t="shared" si="2"/>
        <v>9.315828797096809E-2</v>
      </c>
      <c r="K29" s="184">
        <f t="shared" si="3"/>
        <v>0.23656028747287153</v>
      </c>
    </row>
    <row r="31" spans="1:12" x14ac:dyDescent="0.25">
      <c r="A31" s="182" t="s">
        <v>420</v>
      </c>
      <c r="B31" s="182" t="s">
        <v>419</v>
      </c>
      <c r="C31" s="182" t="s">
        <v>410</v>
      </c>
      <c r="D31" s="182" t="s">
        <v>411</v>
      </c>
      <c r="E31" s="182" t="s">
        <v>412</v>
      </c>
      <c r="F31" s="182" t="s">
        <v>413</v>
      </c>
      <c r="G31" s="182" t="s">
        <v>414</v>
      </c>
      <c r="H31" s="182" t="s">
        <v>415</v>
      </c>
      <c r="I31" s="182" t="s">
        <v>416</v>
      </c>
      <c r="J31" s="182" t="s">
        <v>417</v>
      </c>
      <c r="K31" s="182" t="s">
        <v>418</v>
      </c>
    </row>
    <row r="32" spans="1:12" x14ac:dyDescent="0.25">
      <c r="A32" s="397">
        <v>1</v>
      </c>
      <c r="B32" s="416">
        <v>0.68050402904896334</v>
      </c>
      <c r="C32" s="182">
        <v>225</v>
      </c>
      <c r="D32" s="182">
        <v>330.63727824572646</v>
      </c>
      <c r="E32" s="182">
        <v>17</v>
      </c>
      <c r="F32" s="182">
        <v>242</v>
      </c>
      <c r="G32" s="416">
        <v>0.73191988902155158</v>
      </c>
      <c r="H32" s="416">
        <v>9.0996015936254976E-2</v>
      </c>
      <c r="I32" s="182">
        <v>1</v>
      </c>
      <c r="J32" s="416">
        <v>0.31771174434104987</v>
      </c>
      <c r="K32" s="416">
        <v>1.7842266099867832E-3</v>
      </c>
    </row>
    <row r="33" spans="1:11" x14ac:dyDescent="0.25">
      <c r="A33" s="397">
        <v>2</v>
      </c>
      <c r="B33" s="416">
        <v>0.75521404336547748</v>
      </c>
      <c r="C33" s="182">
        <v>1946</v>
      </c>
      <c r="D33" s="182">
        <v>2576.7529312987826</v>
      </c>
      <c r="E33" s="182">
        <v>166</v>
      </c>
      <c r="F33" s="182">
        <v>2112</v>
      </c>
      <c r="G33" s="416">
        <v>0.81963620739357057</v>
      </c>
      <c r="H33" s="416">
        <v>4.766508343491236E-2</v>
      </c>
      <c r="I33" s="182">
        <v>2</v>
      </c>
      <c r="J33" s="416">
        <v>0.1845139005781421</v>
      </c>
      <c r="K33" s="416">
        <v>6.0272056056380419E-2</v>
      </c>
    </row>
    <row r="34" spans="1:11" x14ac:dyDescent="0.25">
      <c r="A34" s="397">
        <v>3</v>
      </c>
      <c r="B34" s="416">
        <v>0.82053391332692649</v>
      </c>
      <c r="C34" s="182">
        <v>772</v>
      </c>
      <c r="D34" s="182">
        <v>940.85081367308578</v>
      </c>
      <c r="E34" s="182">
        <v>75</v>
      </c>
      <c r="F34" s="182">
        <v>847</v>
      </c>
      <c r="G34" s="416">
        <v>0.90024899558019</v>
      </c>
      <c r="H34" s="416">
        <v>4.2049489882193786E-2</v>
      </c>
      <c r="I34" s="182">
        <v>3</v>
      </c>
      <c r="J34" s="416">
        <v>0.1622942796634036</v>
      </c>
      <c r="K34" s="416">
        <v>1.7171807009669915E-2</v>
      </c>
    </row>
    <row r="35" spans="1:11" x14ac:dyDescent="0.25">
      <c r="A35" s="397">
        <v>4</v>
      </c>
      <c r="B35" s="416">
        <v>0.8127439167000402</v>
      </c>
      <c r="C35" s="182">
        <v>766</v>
      </c>
      <c r="D35" s="182">
        <v>942.48629151254295</v>
      </c>
      <c r="E35" s="182">
        <v>70</v>
      </c>
      <c r="F35" s="182">
        <v>836</v>
      </c>
      <c r="G35" s="416">
        <v>0.88701555399638854</v>
      </c>
      <c r="H35" s="416">
        <v>4.469385997646181E-2</v>
      </c>
      <c r="I35" s="182">
        <v>4</v>
      </c>
      <c r="J35" s="416">
        <v>0.17314428486402622</v>
      </c>
      <c r="K35" s="416">
        <v>1.4111798435933576E-2</v>
      </c>
    </row>
    <row r="36" spans="1:11" x14ac:dyDescent="0.25">
      <c r="A36" s="397">
        <v>5</v>
      </c>
      <c r="B36" s="416">
        <v>0.86092475572424731</v>
      </c>
      <c r="C36" s="182">
        <v>4335</v>
      </c>
      <c r="D36" s="182">
        <v>5035.2832476668764</v>
      </c>
      <c r="E36" s="182">
        <v>382</v>
      </c>
      <c r="F36" s="182">
        <v>4717</v>
      </c>
      <c r="G36" s="416">
        <v>0.93678940547895606</v>
      </c>
      <c r="H36" s="416">
        <v>3.1783483691880637E-2</v>
      </c>
      <c r="I36" s="182">
        <v>5</v>
      </c>
      <c r="J36" s="416">
        <v>0.12267215666745523</v>
      </c>
      <c r="K36" s="416">
        <v>1.6403087608297451E-2</v>
      </c>
    </row>
    <row r="37" spans="1:11" x14ac:dyDescent="0.25">
      <c r="A37" s="397">
        <v>6</v>
      </c>
      <c r="B37" s="416">
        <v>0.78165242273786795</v>
      </c>
      <c r="C37" s="182">
        <v>29</v>
      </c>
      <c r="D37" s="182">
        <v>37.100889290949375</v>
      </c>
      <c r="E37" s="182">
        <v>0</v>
      </c>
      <c r="F37" s="182">
        <v>29</v>
      </c>
      <c r="G37" s="416">
        <v>0.78165242273786795</v>
      </c>
      <c r="H37" s="416">
        <v>5.7775237699381719E-2</v>
      </c>
      <c r="I37" s="182">
        <v>6</v>
      </c>
      <c r="J37" s="416">
        <v>0.21834757726213205</v>
      </c>
      <c r="K37" s="416">
        <v>0</v>
      </c>
    </row>
    <row r="38" spans="1:11" x14ac:dyDescent="0.25">
      <c r="A38" s="397">
        <v>7</v>
      </c>
      <c r="B38" s="416">
        <v>0.85221193500827841</v>
      </c>
      <c r="C38" s="182">
        <v>1166</v>
      </c>
      <c r="D38" s="182">
        <v>1368.2042601159692</v>
      </c>
      <c r="E38" s="182">
        <v>85</v>
      </c>
      <c r="F38" s="182">
        <v>1251</v>
      </c>
      <c r="G38" s="416">
        <v>0.91433716183135194</v>
      </c>
      <c r="H38" s="416">
        <v>3.6211505745929247E-2</v>
      </c>
      <c r="I38" s="182">
        <v>7</v>
      </c>
      <c r="J38" s="416">
        <v>0.14545563410562301</v>
      </c>
      <c r="K38" s="416">
        <v>2.3324308860985798E-3</v>
      </c>
    </row>
    <row r="39" spans="1:11" x14ac:dyDescent="0.25">
      <c r="A39" s="397">
        <v>8</v>
      </c>
      <c r="B39" s="416">
        <v>0.77802393775890122</v>
      </c>
      <c r="C39" s="182">
        <v>420</v>
      </c>
      <c r="D39" s="182">
        <v>539.82914871464038</v>
      </c>
      <c r="E39" s="182">
        <v>19</v>
      </c>
      <c r="F39" s="182">
        <v>439</v>
      </c>
      <c r="G39" s="416">
        <v>0.81322025875275628</v>
      </c>
      <c r="H39" s="416">
        <v>5.5283890247215431E-2</v>
      </c>
      <c r="I39" s="182">
        <v>8</v>
      </c>
      <c r="J39" s="416">
        <v>0.20761745231663509</v>
      </c>
      <c r="K39" s="416">
        <v>1.4358609924463694E-2</v>
      </c>
    </row>
    <row r="40" spans="1:11" x14ac:dyDescent="0.25">
      <c r="A40" s="397">
        <v>9</v>
      </c>
      <c r="B40" s="416">
        <v>0.76515720807141996</v>
      </c>
      <c r="C40" s="182">
        <v>56</v>
      </c>
      <c r="D40" s="182">
        <v>73.187574277903096</v>
      </c>
      <c r="E40" s="182">
        <v>2</v>
      </c>
      <c r="F40" s="182">
        <v>58</v>
      </c>
      <c r="G40" s="416">
        <v>0.79248425121682775</v>
      </c>
      <c r="H40" s="416">
        <v>6.412538033182158E-2</v>
      </c>
      <c r="I40" s="182">
        <v>9</v>
      </c>
      <c r="J40" s="416">
        <v>0.23484279192858004</v>
      </c>
      <c r="K40" s="416">
        <v>0</v>
      </c>
    </row>
    <row r="41" spans="1:11" x14ac:dyDescent="0.25">
      <c r="A41" s="397">
        <v>10</v>
      </c>
      <c r="B41" s="416">
        <v>0.81939155230574734</v>
      </c>
      <c r="C41" s="182">
        <v>668</v>
      </c>
      <c r="D41" s="182">
        <v>815.239061374583</v>
      </c>
      <c r="E41" s="182">
        <v>80</v>
      </c>
      <c r="F41" s="182">
        <v>748</v>
      </c>
      <c r="G41" s="416">
        <v>0.917522277132783</v>
      </c>
      <c r="H41" s="416">
        <v>4.1991476977445173E-2</v>
      </c>
      <c r="I41" s="182">
        <v>10</v>
      </c>
      <c r="J41" s="416">
        <v>0.16065370669441714</v>
      </c>
      <c r="K41" s="416">
        <v>1.9954740999835519E-2</v>
      </c>
    </row>
    <row r="42" spans="1:11" x14ac:dyDescent="0.25">
      <c r="A42" s="397">
        <v>11</v>
      </c>
      <c r="B42" s="416">
        <v>0.83131486083437522</v>
      </c>
      <c r="C42" s="182">
        <v>33</v>
      </c>
      <c r="D42" s="182">
        <v>39.696150706217999</v>
      </c>
      <c r="E42" s="182">
        <v>0</v>
      </c>
      <c r="F42" s="182">
        <v>33</v>
      </c>
      <c r="G42" s="416">
        <v>0.83131486083437522</v>
      </c>
      <c r="H42" s="416">
        <v>4.4392037178331137E-2</v>
      </c>
      <c r="I42" s="182">
        <v>11</v>
      </c>
      <c r="J42" s="416">
        <v>0.16868513916562478</v>
      </c>
      <c r="K42" s="416">
        <v>0</v>
      </c>
    </row>
    <row r="43" spans="1:11" x14ac:dyDescent="0.25">
      <c r="A43" s="397">
        <v>12</v>
      </c>
      <c r="B43" s="416">
        <v>0.84845212921246294</v>
      </c>
      <c r="C43" s="182">
        <v>1001</v>
      </c>
      <c r="D43" s="182">
        <v>1179.7954952734135</v>
      </c>
      <c r="E43" s="182">
        <v>68</v>
      </c>
      <c r="F43" s="182">
        <v>1069</v>
      </c>
      <c r="G43" s="416">
        <v>0.90608923689123166</v>
      </c>
      <c r="H43" s="416">
        <v>3.8047756494358438E-2</v>
      </c>
      <c r="I43" s="182">
        <v>12</v>
      </c>
      <c r="J43" s="416">
        <v>0.14549710282960349</v>
      </c>
      <c r="K43" s="416">
        <v>6.0507679579335782E-3</v>
      </c>
    </row>
    <row r="44" spans="1:11" x14ac:dyDescent="0.25">
      <c r="A44" s="182" t="s">
        <v>155</v>
      </c>
      <c r="B44" s="416">
        <v>0.88786533519228727</v>
      </c>
      <c r="C44" s="182">
        <v>647</v>
      </c>
      <c r="D44" s="182">
        <v>728.71411277688583</v>
      </c>
      <c r="E44" s="182">
        <v>67</v>
      </c>
      <c r="F44" s="182">
        <v>714</v>
      </c>
      <c r="G44" s="416">
        <v>0.97980811333430162</v>
      </c>
      <c r="H44" s="416">
        <v>3.005676557780251E-2</v>
      </c>
      <c r="I44" s="182" t="s">
        <v>155</v>
      </c>
      <c r="J44" s="416">
        <v>0.11159421083037291</v>
      </c>
      <c r="K44" s="416">
        <v>5.4045397733981648E-4</v>
      </c>
    </row>
  </sheetData>
  <pageMargins left="0.7" right="0.7" top="0.75" bottom="0.75" header="0.3" footer="0.3"/>
  <ignoredErrors>
    <ignoredError sqref="J5:J1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V185"/>
  <sheetViews>
    <sheetView topLeftCell="A41" workbookViewId="0">
      <selection activeCell="F183" sqref="F183"/>
    </sheetView>
  </sheetViews>
  <sheetFormatPr defaultRowHeight="18.75" x14ac:dyDescent="0.3"/>
  <cols>
    <col min="2" max="2" width="22" customWidth="1"/>
    <col min="9" max="9" width="19.3984375" customWidth="1"/>
  </cols>
  <sheetData>
    <row r="2" spans="1:8" ht="26.25" x14ac:dyDescent="0.4">
      <c r="A2" s="187" t="s">
        <v>102</v>
      </c>
      <c r="B2" s="187">
        <v>1</v>
      </c>
      <c r="C2" s="182" t="s">
        <v>142</v>
      </c>
      <c r="E2">
        <v>1</v>
      </c>
      <c r="F2" s="187" t="s">
        <v>102</v>
      </c>
      <c r="G2">
        <v>1</v>
      </c>
      <c r="H2" s="182" t="s">
        <v>142</v>
      </c>
    </row>
    <row r="3" spans="1:8" ht="26.25" x14ac:dyDescent="0.4">
      <c r="A3" s="187" t="s">
        <v>156</v>
      </c>
      <c r="B3" s="187">
        <v>2</v>
      </c>
      <c r="C3" s="182" t="s">
        <v>141</v>
      </c>
      <c r="E3">
        <v>2</v>
      </c>
      <c r="F3" s="187" t="s">
        <v>156</v>
      </c>
      <c r="G3">
        <v>2</v>
      </c>
      <c r="H3" s="182" t="s">
        <v>141</v>
      </c>
    </row>
    <row r="4" spans="1:8" ht="26.25" x14ac:dyDescent="0.4">
      <c r="A4" s="187" t="s">
        <v>120</v>
      </c>
      <c r="B4" s="187">
        <v>3</v>
      </c>
      <c r="C4" s="182" t="s">
        <v>140</v>
      </c>
      <c r="E4">
        <v>3</v>
      </c>
      <c r="F4" s="187" t="s">
        <v>120</v>
      </c>
      <c r="G4">
        <v>3</v>
      </c>
      <c r="H4" s="182" t="s">
        <v>140</v>
      </c>
    </row>
    <row r="5" spans="1:8" ht="26.25" x14ac:dyDescent="0.4">
      <c r="A5" s="187" t="s">
        <v>123</v>
      </c>
      <c r="B5" s="187">
        <v>4</v>
      </c>
      <c r="C5" s="182" t="s">
        <v>139</v>
      </c>
      <c r="E5">
        <v>4</v>
      </c>
      <c r="F5" s="187" t="s">
        <v>123</v>
      </c>
      <c r="G5">
        <v>4</v>
      </c>
      <c r="H5" s="182" t="s">
        <v>139</v>
      </c>
    </row>
    <row r="6" spans="1:8" ht="26.25" x14ac:dyDescent="0.4">
      <c r="A6" s="187" t="s">
        <v>157</v>
      </c>
      <c r="B6" s="187">
        <v>5</v>
      </c>
      <c r="C6" s="182" t="s">
        <v>138</v>
      </c>
      <c r="E6">
        <v>5</v>
      </c>
      <c r="F6" s="187" t="s">
        <v>157</v>
      </c>
      <c r="G6">
        <v>5</v>
      </c>
      <c r="H6" s="182" t="s">
        <v>138</v>
      </c>
    </row>
    <row r="7" spans="1:8" ht="26.25" x14ac:dyDescent="0.4">
      <c r="A7" s="187" t="s">
        <v>158</v>
      </c>
      <c r="B7" s="187">
        <v>6</v>
      </c>
      <c r="C7" s="182" t="s">
        <v>137</v>
      </c>
      <c r="E7">
        <v>6</v>
      </c>
      <c r="F7" s="187" t="s">
        <v>158</v>
      </c>
      <c r="G7">
        <v>6</v>
      </c>
      <c r="H7" s="182" t="s">
        <v>137</v>
      </c>
    </row>
    <row r="8" spans="1:8" ht="26.25" x14ac:dyDescent="0.4">
      <c r="A8" s="187" t="s">
        <v>159</v>
      </c>
      <c r="B8" s="187">
        <v>7</v>
      </c>
      <c r="C8" s="182" t="s">
        <v>136</v>
      </c>
      <c r="E8">
        <v>7</v>
      </c>
      <c r="F8" s="187" t="s">
        <v>159</v>
      </c>
      <c r="G8">
        <v>7</v>
      </c>
      <c r="H8" s="182" t="s">
        <v>136</v>
      </c>
    </row>
    <row r="9" spans="1:8" ht="26.25" x14ac:dyDescent="0.4">
      <c r="A9" s="187" t="s">
        <v>119</v>
      </c>
      <c r="B9" s="187">
        <v>8</v>
      </c>
      <c r="C9" s="182" t="s">
        <v>135</v>
      </c>
      <c r="E9">
        <v>8</v>
      </c>
      <c r="F9" s="187" t="s">
        <v>119</v>
      </c>
      <c r="G9">
        <v>8</v>
      </c>
      <c r="H9" s="182" t="s">
        <v>135</v>
      </c>
    </row>
    <row r="10" spans="1:8" ht="26.25" x14ac:dyDescent="0.4">
      <c r="A10" s="187" t="s">
        <v>124</v>
      </c>
      <c r="B10" s="187">
        <v>9</v>
      </c>
      <c r="C10" s="182" t="s">
        <v>134</v>
      </c>
      <c r="E10">
        <v>9</v>
      </c>
      <c r="F10" s="187" t="s">
        <v>124</v>
      </c>
      <c r="G10">
        <v>9</v>
      </c>
      <c r="H10" s="182" t="s">
        <v>134</v>
      </c>
    </row>
    <row r="11" spans="1:8" ht="26.25" x14ac:dyDescent="0.4">
      <c r="A11" s="187" t="s">
        <v>160</v>
      </c>
      <c r="B11" s="187">
        <v>10</v>
      </c>
      <c r="C11" s="182" t="s">
        <v>133</v>
      </c>
      <c r="E11">
        <v>10</v>
      </c>
      <c r="F11" s="187" t="s">
        <v>160</v>
      </c>
      <c r="G11">
        <v>10</v>
      </c>
      <c r="H11" s="182" t="s">
        <v>133</v>
      </c>
    </row>
    <row r="12" spans="1:8" ht="26.25" x14ac:dyDescent="0.4">
      <c r="A12" s="187" t="s">
        <v>161</v>
      </c>
      <c r="B12" s="187">
        <v>11</v>
      </c>
      <c r="C12" s="182" t="s">
        <v>132</v>
      </c>
      <c r="E12">
        <v>11</v>
      </c>
      <c r="F12" s="187" t="s">
        <v>161</v>
      </c>
      <c r="G12">
        <v>11</v>
      </c>
      <c r="H12" s="182" t="s">
        <v>132</v>
      </c>
    </row>
    <row r="13" spans="1:8" ht="26.25" x14ac:dyDescent="0.4">
      <c r="A13" s="187" t="s">
        <v>126</v>
      </c>
      <c r="B13" s="187">
        <v>12</v>
      </c>
      <c r="C13" s="182" t="s">
        <v>131</v>
      </c>
      <c r="E13">
        <v>12</v>
      </c>
      <c r="F13" s="187" t="s">
        <v>126</v>
      </c>
      <c r="G13">
        <v>12</v>
      </c>
      <c r="H13" s="182" t="s">
        <v>131</v>
      </c>
    </row>
    <row r="16" spans="1:8" x14ac:dyDescent="0.3">
      <c r="A16" s="436" t="s">
        <v>428</v>
      </c>
      <c r="B16" s="436" t="s">
        <v>429</v>
      </c>
      <c r="C16" s="436" t="s">
        <v>430</v>
      </c>
      <c r="D16" s="436" t="s">
        <v>431</v>
      </c>
    </row>
    <row r="17" spans="1:22" ht="23.25" x14ac:dyDescent="0.35">
      <c r="A17" s="436" t="s">
        <v>429</v>
      </c>
      <c r="B17" s="436" t="s">
        <v>430</v>
      </c>
      <c r="C17" s="436" t="s">
        <v>431</v>
      </c>
      <c r="D17" s="436" t="s">
        <v>432</v>
      </c>
      <c r="I17" s="166" t="s">
        <v>224</v>
      </c>
    </row>
    <row r="18" spans="1:22" ht="23.25" x14ac:dyDescent="0.35">
      <c r="A18" s="436" t="s">
        <v>430</v>
      </c>
      <c r="B18" s="436" t="s">
        <v>431</v>
      </c>
      <c r="C18" s="436" t="s">
        <v>432</v>
      </c>
      <c r="D18" s="436" t="s">
        <v>433</v>
      </c>
      <c r="I18" s="166" t="s">
        <v>223</v>
      </c>
    </row>
    <row r="19" spans="1:22" ht="23.25" x14ac:dyDescent="0.35">
      <c r="A19" s="436" t="s">
        <v>431</v>
      </c>
      <c r="B19" s="436" t="s">
        <v>432</v>
      </c>
      <c r="C19" s="436" t="s">
        <v>433</v>
      </c>
      <c r="D19" s="436" t="s">
        <v>434</v>
      </c>
      <c r="E19" s="183"/>
      <c r="F19" s="183"/>
      <c r="G19" s="183"/>
      <c r="H19" s="183"/>
      <c r="I19" s="166" t="s">
        <v>225</v>
      </c>
    </row>
    <row r="20" spans="1:22" ht="23.25" x14ac:dyDescent="0.35">
      <c r="A20" s="436" t="s">
        <v>432</v>
      </c>
      <c r="B20" s="436" t="s">
        <v>433</v>
      </c>
      <c r="C20" s="436" t="s">
        <v>434</v>
      </c>
      <c r="D20" s="436" t="s">
        <v>435</v>
      </c>
      <c r="E20" s="183"/>
      <c r="F20" s="183"/>
      <c r="G20" s="183"/>
      <c r="H20" s="183"/>
      <c r="I20" s="166" t="s">
        <v>226</v>
      </c>
    </row>
    <row r="21" spans="1:22" ht="23.25" x14ac:dyDescent="0.35">
      <c r="A21" s="436" t="s">
        <v>433</v>
      </c>
      <c r="B21" s="436" t="s">
        <v>434</v>
      </c>
      <c r="C21" s="436" t="s">
        <v>435</v>
      </c>
      <c r="D21" s="436" t="s">
        <v>436</v>
      </c>
      <c r="I21" s="166" t="s">
        <v>219</v>
      </c>
    </row>
    <row r="22" spans="1:22" ht="39" customHeight="1" x14ac:dyDescent="0.35">
      <c r="A22" s="436" t="s">
        <v>434</v>
      </c>
      <c r="B22" s="436" t="s">
        <v>435</v>
      </c>
      <c r="C22" s="436" t="s">
        <v>436</v>
      </c>
      <c r="D22" s="183" t="s">
        <v>437</v>
      </c>
      <c r="E22" s="436" t="s">
        <v>428</v>
      </c>
      <c r="F22" s="436" t="s">
        <v>429</v>
      </c>
      <c r="G22" s="436" t="s">
        <v>430</v>
      </c>
      <c r="H22" s="436" t="s">
        <v>431</v>
      </c>
      <c r="I22" s="166" t="s">
        <v>220</v>
      </c>
    </row>
    <row r="23" spans="1:22" ht="23.25" x14ac:dyDescent="0.35">
      <c r="A23" s="436" t="s">
        <v>435</v>
      </c>
      <c r="B23" s="436" t="s">
        <v>436</v>
      </c>
      <c r="C23" s="183" t="s">
        <v>437</v>
      </c>
      <c r="D23" s="201" t="s">
        <v>438</v>
      </c>
      <c r="E23" s="436" t="s">
        <v>429</v>
      </c>
      <c r="F23" s="436" t="s">
        <v>430</v>
      </c>
      <c r="G23" s="436" t="s">
        <v>431</v>
      </c>
      <c r="H23" s="436" t="s">
        <v>432</v>
      </c>
      <c r="I23" s="166" t="s">
        <v>104</v>
      </c>
      <c r="J23" s="436" t="s">
        <v>426</v>
      </c>
      <c r="K23" s="436" t="s">
        <v>427</v>
      </c>
      <c r="L23" s="436" t="s">
        <v>428</v>
      </c>
      <c r="M23" s="436" t="s">
        <v>429</v>
      </c>
      <c r="N23" s="436" t="s">
        <v>430</v>
      </c>
      <c r="O23" s="436" t="s">
        <v>431</v>
      </c>
      <c r="P23" s="436" t="s">
        <v>432</v>
      </c>
      <c r="Q23" s="436" t="s">
        <v>433</v>
      </c>
      <c r="R23" s="436" t="s">
        <v>434</v>
      </c>
      <c r="S23" s="436" t="s">
        <v>435</v>
      </c>
      <c r="T23" s="436" t="s">
        <v>436</v>
      </c>
    </row>
    <row r="24" spans="1:22" ht="23.25" x14ac:dyDescent="0.35">
      <c r="A24" s="436" t="s">
        <v>436</v>
      </c>
      <c r="B24" s="183" t="s">
        <v>437</v>
      </c>
      <c r="C24" s="201" t="s">
        <v>438</v>
      </c>
      <c r="D24" s="201" t="s">
        <v>439</v>
      </c>
      <c r="E24" s="436" t="s">
        <v>430</v>
      </c>
      <c r="F24" s="436" t="s">
        <v>431</v>
      </c>
      <c r="G24" s="436" t="s">
        <v>432</v>
      </c>
      <c r="H24" s="436" t="s">
        <v>433</v>
      </c>
      <c r="I24" s="166" t="s">
        <v>221</v>
      </c>
    </row>
    <row r="25" spans="1:22" ht="23.25" x14ac:dyDescent="0.35">
      <c r="A25" s="183" t="s">
        <v>437</v>
      </c>
      <c r="B25" s="201" t="s">
        <v>438</v>
      </c>
      <c r="C25" s="201" t="s">
        <v>439</v>
      </c>
      <c r="D25" s="201" t="s">
        <v>440</v>
      </c>
      <c r="E25" s="436" t="s">
        <v>431</v>
      </c>
      <c r="F25" s="436" t="s">
        <v>432</v>
      </c>
      <c r="G25" s="436" t="s">
        <v>433</v>
      </c>
      <c r="H25" s="436" t="s">
        <v>434</v>
      </c>
      <c r="I25" s="166" t="s">
        <v>222</v>
      </c>
      <c r="L25" s="436" t="s">
        <v>426</v>
      </c>
      <c r="M25" s="436" t="s">
        <v>427</v>
      </c>
      <c r="N25" s="436" t="s">
        <v>428</v>
      </c>
      <c r="O25" s="436" t="s">
        <v>429</v>
      </c>
      <c r="P25" s="436" t="s">
        <v>430</v>
      </c>
      <c r="Q25" s="436" t="s">
        <v>431</v>
      </c>
      <c r="R25" s="436" t="s">
        <v>432</v>
      </c>
      <c r="S25" s="436" t="s">
        <v>433</v>
      </c>
      <c r="T25" s="436" t="s">
        <v>434</v>
      </c>
      <c r="U25" s="436" t="s">
        <v>435</v>
      </c>
      <c r="V25" s="436" t="s">
        <v>436</v>
      </c>
    </row>
    <row r="26" spans="1:22" ht="23.25" x14ac:dyDescent="0.35">
      <c r="A26" s="201" t="s">
        <v>438</v>
      </c>
      <c r="B26" s="201" t="s">
        <v>439</v>
      </c>
      <c r="C26" s="201" t="s">
        <v>440</v>
      </c>
      <c r="D26" s="201" t="s">
        <v>441</v>
      </c>
      <c r="E26" s="436" t="s">
        <v>432</v>
      </c>
      <c r="F26" s="436" t="s">
        <v>433</v>
      </c>
      <c r="G26" s="436" t="s">
        <v>434</v>
      </c>
      <c r="H26" s="436" t="s">
        <v>435</v>
      </c>
      <c r="I26" s="166" t="s">
        <v>220</v>
      </c>
    </row>
    <row r="27" spans="1:22" ht="23.25" x14ac:dyDescent="0.35">
      <c r="A27" s="201" t="s">
        <v>439</v>
      </c>
      <c r="B27" s="201" t="s">
        <v>440</v>
      </c>
      <c r="C27" s="201" t="s">
        <v>441</v>
      </c>
      <c r="D27" s="201" t="s">
        <v>442</v>
      </c>
      <c r="E27" s="436" t="s">
        <v>433</v>
      </c>
      <c r="F27" s="436" t="s">
        <v>434</v>
      </c>
      <c r="G27" s="436" t="s">
        <v>435</v>
      </c>
      <c r="H27" s="436" t="s">
        <v>436</v>
      </c>
      <c r="I27" s="166" t="s">
        <v>104</v>
      </c>
    </row>
    <row r="28" spans="1:22" ht="23.25" x14ac:dyDescent="0.35">
      <c r="A28" s="201" t="s">
        <v>440</v>
      </c>
      <c r="B28" s="201" t="s">
        <v>441</v>
      </c>
      <c r="C28" s="201" t="s">
        <v>442</v>
      </c>
      <c r="D28" s="201" t="s">
        <v>443</v>
      </c>
      <c r="E28" s="436" t="s">
        <v>434</v>
      </c>
      <c r="F28" s="436" t="s">
        <v>435</v>
      </c>
      <c r="G28" s="436" t="s">
        <v>436</v>
      </c>
      <c r="H28" s="183" t="s">
        <v>437</v>
      </c>
      <c r="I28" s="166" t="s">
        <v>221</v>
      </c>
    </row>
    <row r="29" spans="1:22" ht="23.25" x14ac:dyDescent="0.35">
      <c r="A29" s="201" t="s">
        <v>441</v>
      </c>
      <c r="B29" s="201" t="s">
        <v>442</v>
      </c>
      <c r="C29" s="201" t="s">
        <v>443</v>
      </c>
      <c r="D29" s="201" t="s">
        <v>444</v>
      </c>
      <c r="E29" s="436" t="s">
        <v>435</v>
      </c>
      <c r="F29" s="436" t="s">
        <v>436</v>
      </c>
      <c r="G29" s="183" t="s">
        <v>437</v>
      </c>
      <c r="H29" s="201" t="s">
        <v>438</v>
      </c>
      <c r="I29" s="166" t="s">
        <v>222</v>
      </c>
    </row>
    <row r="30" spans="1:22" x14ac:dyDescent="0.3">
      <c r="A30" s="201" t="s">
        <v>442</v>
      </c>
      <c r="B30" s="201" t="s">
        <v>443</v>
      </c>
      <c r="C30" s="201" t="s">
        <v>444</v>
      </c>
      <c r="D30" s="201" t="s">
        <v>445</v>
      </c>
      <c r="E30" s="436" t="s">
        <v>436</v>
      </c>
      <c r="F30" s="183" t="s">
        <v>437</v>
      </c>
      <c r="G30" s="201" t="s">
        <v>438</v>
      </c>
      <c r="H30" s="201" t="s">
        <v>439</v>
      </c>
    </row>
    <row r="31" spans="1:22" x14ac:dyDescent="0.3">
      <c r="A31" s="201" t="s">
        <v>443</v>
      </c>
      <c r="B31" s="201" t="s">
        <v>444</v>
      </c>
      <c r="C31" s="201" t="s">
        <v>445</v>
      </c>
      <c r="D31" s="201" t="s">
        <v>446</v>
      </c>
      <c r="E31" s="183" t="s">
        <v>437</v>
      </c>
      <c r="F31" s="201" t="s">
        <v>438</v>
      </c>
      <c r="G31" s="201" t="s">
        <v>439</v>
      </c>
      <c r="H31" s="201" t="s">
        <v>440</v>
      </c>
    </row>
    <row r="32" spans="1:22" x14ac:dyDescent="0.3">
      <c r="A32" s="183"/>
      <c r="B32" s="183"/>
      <c r="C32" s="183"/>
      <c r="D32" s="183"/>
      <c r="E32" s="201" t="s">
        <v>438</v>
      </c>
      <c r="F32" s="201" t="s">
        <v>439</v>
      </c>
      <c r="G32" s="201" t="s">
        <v>440</v>
      </c>
      <c r="H32" s="201" t="s">
        <v>441</v>
      </c>
    </row>
    <row r="33" spans="1:8" x14ac:dyDescent="0.3">
      <c r="A33" s="183"/>
      <c r="B33" s="183"/>
      <c r="C33" s="183"/>
      <c r="D33" s="201"/>
      <c r="E33" s="201" t="s">
        <v>439</v>
      </c>
      <c r="F33" s="201" t="s">
        <v>440</v>
      </c>
      <c r="G33" s="201" t="s">
        <v>441</v>
      </c>
      <c r="H33" s="201" t="s">
        <v>442</v>
      </c>
    </row>
    <row r="34" spans="1:8" x14ac:dyDescent="0.3">
      <c r="A34" s="183"/>
      <c r="B34" s="183"/>
      <c r="C34" s="201"/>
      <c r="D34" s="201"/>
      <c r="E34" s="201" t="s">
        <v>440</v>
      </c>
      <c r="F34" s="201" t="s">
        <v>441</v>
      </c>
      <c r="G34" s="201" t="s">
        <v>442</v>
      </c>
      <c r="H34" s="201" t="s">
        <v>443</v>
      </c>
    </row>
    <row r="35" spans="1:8" x14ac:dyDescent="0.3">
      <c r="A35" s="183"/>
      <c r="B35" s="201"/>
      <c r="C35" s="201"/>
      <c r="D35" s="201"/>
      <c r="E35" s="201"/>
    </row>
    <row r="36" spans="1:8" x14ac:dyDescent="0.3">
      <c r="A36" s="201"/>
      <c r="B36" s="201"/>
      <c r="C36" s="201"/>
      <c r="D36" s="201"/>
      <c r="E36" s="183"/>
      <c r="F36" s="183"/>
      <c r="G36" s="183"/>
      <c r="H36" s="201"/>
    </row>
    <row r="37" spans="1:8" x14ac:dyDescent="0.3">
      <c r="A37" s="201"/>
      <c r="B37" s="201"/>
      <c r="C37" s="201"/>
      <c r="D37" s="201"/>
      <c r="E37" s="183"/>
      <c r="F37" s="183"/>
      <c r="G37" s="201"/>
      <c r="H37" s="201"/>
    </row>
    <row r="38" spans="1:8" x14ac:dyDescent="0.3">
      <c r="A38" s="201"/>
      <c r="B38" s="201"/>
      <c r="C38" s="201"/>
      <c r="D38" s="201"/>
      <c r="E38" s="183"/>
      <c r="F38" s="201"/>
      <c r="G38" s="201"/>
      <c r="H38" s="201"/>
    </row>
    <row r="39" spans="1:8" x14ac:dyDescent="0.3">
      <c r="A39" s="201"/>
      <c r="B39" s="201"/>
      <c r="C39" s="201"/>
      <c r="D39" s="201"/>
      <c r="E39" s="201"/>
      <c r="F39" s="201"/>
      <c r="G39" s="201"/>
      <c r="H39" s="201"/>
    </row>
    <row r="40" spans="1:8" x14ac:dyDescent="0.3">
      <c r="A40" s="201"/>
      <c r="B40" s="201"/>
      <c r="C40" s="201"/>
      <c r="D40" s="201"/>
      <c r="E40" s="201"/>
      <c r="F40" s="201"/>
      <c r="G40" s="201"/>
      <c r="H40" s="201"/>
    </row>
    <row r="41" spans="1:8" x14ac:dyDescent="0.3">
      <c r="A41" s="201"/>
      <c r="B41" s="201"/>
      <c r="C41" s="201"/>
      <c r="D41" s="201"/>
      <c r="E41" s="201"/>
      <c r="F41" s="201"/>
      <c r="G41" s="201"/>
      <c r="H41" s="201"/>
    </row>
    <row r="42" spans="1:8" x14ac:dyDescent="0.3">
      <c r="E42" s="201"/>
      <c r="F42" s="201"/>
      <c r="G42" s="201"/>
      <c r="H42" s="201"/>
    </row>
    <row r="43" spans="1:8" x14ac:dyDescent="0.3">
      <c r="A43" t="s">
        <v>303</v>
      </c>
      <c r="B43" t="s">
        <v>289</v>
      </c>
      <c r="C43" t="s">
        <v>302</v>
      </c>
      <c r="E43" s="201"/>
      <c r="F43" s="201"/>
      <c r="G43" s="201"/>
      <c r="H43" s="201"/>
    </row>
    <row r="44" spans="1:8" x14ac:dyDescent="0.3">
      <c r="A44">
        <v>8</v>
      </c>
      <c r="B44" t="s">
        <v>288</v>
      </c>
      <c r="C44" t="s">
        <v>119</v>
      </c>
      <c r="D44">
        <v>8</v>
      </c>
      <c r="E44" s="201"/>
      <c r="F44" s="201"/>
      <c r="G44" s="201"/>
      <c r="H44" s="201"/>
    </row>
    <row r="45" spans="1:8" x14ac:dyDescent="0.3">
      <c r="A45">
        <v>10</v>
      </c>
      <c r="B45" t="s">
        <v>287</v>
      </c>
      <c r="C45" t="s">
        <v>160</v>
      </c>
      <c r="D45">
        <v>10</v>
      </c>
    </row>
    <row r="46" spans="1:8" x14ac:dyDescent="0.3">
      <c r="A46">
        <v>11</v>
      </c>
      <c r="B46" t="s">
        <v>286</v>
      </c>
      <c r="C46" t="s">
        <v>161</v>
      </c>
      <c r="D46">
        <v>11</v>
      </c>
    </row>
    <row r="47" spans="1:8" x14ac:dyDescent="0.3">
      <c r="A47">
        <v>8</v>
      </c>
      <c r="B47" t="s">
        <v>285</v>
      </c>
      <c r="C47" t="s">
        <v>119</v>
      </c>
      <c r="D47">
        <v>8</v>
      </c>
    </row>
    <row r="48" spans="1:8" x14ac:dyDescent="0.3">
      <c r="A48">
        <v>1</v>
      </c>
      <c r="B48" t="s">
        <v>284</v>
      </c>
      <c r="C48" t="s">
        <v>102</v>
      </c>
      <c r="D48">
        <v>1</v>
      </c>
    </row>
    <row r="49" spans="1:4" x14ac:dyDescent="0.3">
      <c r="A49">
        <v>7</v>
      </c>
      <c r="B49" t="s">
        <v>283</v>
      </c>
      <c r="C49" t="s">
        <v>159</v>
      </c>
      <c r="D49">
        <v>7</v>
      </c>
    </row>
    <row r="50" spans="1:4" x14ac:dyDescent="0.3">
      <c r="A50">
        <v>10</v>
      </c>
      <c r="B50" t="s">
        <v>282</v>
      </c>
      <c r="C50" t="s">
        <v>160</v>
      </c>
      <c r="D50">
        <v>10</v>
      </c>
    </row>
    <row r="51" spans="1:4" x14ac:dyDescent="0.3">
      <c r="A51">
        <v>7</v>
      </c>
      <c r="B51" t="s">
        <v>281</v>
      </c>
      <c r="C51" t="s">
        <v>159</v>
      </c>
      <c r="D51">
        <v>7</v>
      </c>
    </row>
    <row r="52" spans="1:4" x14ac:dyDescent="0.3">
      <c r="A52">
        <v>8</v>
      </c>
      <c r="B52" t="s">
        <v>280</v>
      </c>
      <c r="C52" t="s">
        <v>119</v>
      </c>
      <c r="D52">
        <v>8</v>
      </c>
    </row>
    <row r="53" spans="1:4" x14ac:dyDescent="0.3">
      <c r="A53">
        <v>10</v>
      </c>
      <c r="B53" t="s">
        <v>279</v>
      </c>
      <c r="C53" t="s">
        <v>160</v>
      </c>
      <c r="D53">
        <v>10</v>
      </c>
    </row>
    <row r="54" spans="1:4" x14ac:dyDescent="0.3">
      <c r="A54">
        <v>11</v>
      </c>
      <c r="B54" t="s">
        <v>278</v>
      </c>
      <c r="C54" t="s">
        <v>161</v>
      </c>
      <c r="D54">
        <v>11</v>
      </c>
    </row>
    <row r="55" spans="1:4" x14ac:dyDescent="0.3">
      <c r="A55">
        <v>10</v>
      </c>
      <c r="B55" t="s">
        <v>277</v>
      </c>
      <c r="C55" t="s">
        <v>160</v>
      </c>
      <c r="D55">
        <v>10</v>
      </c>
    </row>
    <row r="56" spans="1:4" x14ac:dyDescent="0.3">
      <c r="A56">
        <v>8</v>
      </c>
      <c r="B56" t="s">
        <v>276</v>
      </c>
      <c r="C56" t="s">
        <v>119</v>
      </c>
      <c r="D56">
        <v>8</v>
      </c>
    </row>
    <row r="57" spans="1:4" x14ac:dyDescent="0.3">
      <c r="A57">
        <v>2</v>
      </c>
      <c r="B57" t="s">
        <v>275</v>
      </c>
      <c r="C57" t="s">
        <v>156</v>
      </c>
      <c r="D57">
        <v>2</v>
      </c>
    </row>
    <row r="58" spans="1:4" x14ac:dyDescent="0.3">
      <c r="A58">
        <v>3</v>
      </c>
      <c r="B58" t="s">
        <v>274</v>
      </c>
      <c r="C58" t="s">
        <v>120</v>
      </c>
      <c r="D58">
        <v>3</v>
      </c>
    </row>
    <row r="59" spans="1:4" x14ac:dyDescent="0.3">
      <c r="A59">
        <v>1</v>
      </c>
      <c r="B59" t="s">
        <v>273</v>
      </c>
      <c r="C59" t="s">
        <v>102</v>
      </c>
      <c r="D59">
        <v>1</v>
      </c>
    </row>
    <row r="60" spans="1:4" x14ac:dyDescent="0.3">
      <c r="A60">
        <v>5</v>
      </c>
      <c r="B60" t="s">
        <v>272</v>
      </c>
      <c r="C60" t="s">
        <v>157</v>
      </c>
      <c r="D60">
        <v>5</v>
      </c>
    </row>
    <row r="61" spans="1:4" x14ac:dyDescent="0.3">
      <c r="A61">
        <v>1</v>
      </c>
      <c r="B61" t="s">
        <v>271</v>
      </c>
      <c r="C61" t="s">
        <v>102</v>
      </c>
      <c r="D61">
        <v>1</v>
      </c>
    </row>
    <row r="62" spans="1:4" x14ac:dyDescent="0.3">
      <c r="A62">
        <v>9</v>
      </c>
      <c r="B62" t="s">
        <v>270</v>
      </c>
      <c r="C62" t="s">
        <v>124</v>
      </c>
      <c r="D62">
        <v>9</v>
      </c>
    </row>
    <row r="63" spans="1:4" x14ac:dyDescent="0.3">
      <c r="A63">
        <v>9</v>
      </c>
      <c r="B63" t="s">
        <v>269</v>
      </c>
      <c r="C63" t="s">
        <v>124</v>
      </c>
      <c r="D63">
        <v>9</v>
      </c>
    </row>
    <row r="64" spans="1:4" x14ac:dyDescent="0.3">
      <c r="A64">
        <v>2</v>
      </c>
      <c r="B64" t="s">
        <v>268</v>
      </c>
      <c r="C64" t="s">
        <v>156</v>
      </c>
      <c r="D64">
        <v>2</v>
      </c>
    </row>
    <row r="65" spans="1:4" x14ac:dyDescent="0.3">
      <c r="A65">
        <v>10</v>
      </c>
      <c r="B65" t="s">
        <v>267</v>
      </c>
      <c r="C65" t="s">
        <v>160</v>
      </c>
      <c r="D65">
        <v>10</v>
      </c>
    </row>
    <row r="66" spans="1:4" x14ac:dyDescent="0.3">
      <c r="A66">
        <v>2</v>
      </c>
      <c r="B66" t="s">
        <v>266</v>
      </c>
      <c r="C66" t="s">
        <v>156</v>
      </c>
      <c r="D66">
        <v>2</v>
      </c>
    </row>
    <row r="67" spans="1:4" x14ac:dyDescent="0.3">
      <c r="A67">
        <v>8</v>
      </c>
      <c r="B67" t="s">
        <v>265</v>
      </c>
      <c r="C67" t="s">
        <v>119</v>
      </c>
      <c r="D67">
        <v>8</v>
      </c>
    </row>
    <row r="68" spans="1:4" x14ac:dyDescent="0.3">
      <c r="A68">
        <v>2</v>
      </c>
      <c r="B68" t="s">
        <v>264</v>
      </c>
      <c r="C68" t="s">
        <v>156</v>
      </c>
      <c r="D68">
        <v>2</v>
      </c>
    </row>
    <row r="69" spans="1:4" x14ac:dyDescent="0.3">
      <c r="A69">
        <v>10</v>
      </c>
      <c r="B69" t="s">
        <v>263</v>
      </c>
      <c r="C69" t="s">
        <v>160</v>
      </c>
      <c r="D69">
        <v>10</v>
      </c>
    </row>
    <row r="70" spans="1:4" x14ac:dyDescent="0.3">
      <c r="A70">
        <v>6</v>
      </c>
      <c r="B70" t="s">
        <v>262</v>
      </c>
      <c r="C70" t="s">
        <v>158</v>
      </c>
      <c r="D70">
        <v>6</v>
      </c>
    </row>
    <row r="71" spans="1:4" x14ac:dyDescent="0.3">
      <c r="A71">
        <v>3</v>
      </c>
      <c r="B71" t="s">
        <v>261</v>
      </c>
      <c r="C71" t="s">
        <v>120</v>
      </c>
      <c r="D71">
        <v>3</v>
      </c>
    </row>
    <row r="72" spans="1:4" x14ac:dyDescent="0.3">
      <c r="A72">
        <v>3</v>
      </c>
      <c r="B72" t="s">
        <v>260</v>
      </c>
      <c r="C72" t="s">
        <v>120</v>
      </c>
      <c r="D72">
        <v>3</v>
      </c>
    </row>
    <row r="73" spans="1:4" x14ac:dyDescent="0.3">
      <c r="A73">
        <v>9</v>
      </c>
      <c r="B73" t="s">
        <v>259</v>
      </c>
      <c r="C73" t="s">
        <v>124</v>
      </c>
      <c r="D73">
        <v>9</v>
      </c>
    </row>
    <row r="74" spans="1:4" x14ac:dyDescent="0.3">
      <c r="A74">
        <v>4</v>
      </c>
      <c r="B74" t="s">
        <v>258</v>
      </c>
      <c r="C74" t="s">
        <v>123</v>
      </c>
      <c r="D74">
        <v>4</v>
      </c>
    </row>
    <row r="75" spans="1:4" x14ac:dyDescent="0.3">
      <c r="A75">
        <v>12</v>
      </c>
      <c r="B75" t="s">
        <v>257</v>
      </c>
      <c r="C75" t="s">
        <v>126</v>
      </c>
      <c r="D75">
        <v>12</v>
      </c>
    </row>
    <row r="76" spans="1:4" x14ac:dyDescent="0.3">
      <c r="A76">
        <v>10</v>
      </c>
      <c r="B76" t="s">
        <v>256</v>
      </c>
      <c r="C76" t="s">
        <v>160</v>
      </c>
      <c r="D76">
        <v>10</v>
      </c>
    </row>
    <row r="77" spans="1:4" x14ac:dyDescent="0.3">
      <c r="A77">
        <v>2</v>
      </c>
      <c r="B77" t="s">
        <v>255</v>
      </c>
      <c r="C77" t="s">
        <v>156</v>
      </c>
      <c r="D77">
        <v>2</v>
      </c>
    </row>
    <row r="78" spans="1:4" x14ac:dyDescent="0.3">
      <c r="A78">
        <v>7</v>
      </c>
      <c r="B78" t="s">
        <v>254</v>
      </c>
      <c r="C78" t="s">
        <v>159</v>
      </c>
      <c r="D78">
        <v>7</v>
      </c>
    </row>
    <row r="79" spans="1:4" x14ac:dyDescent="0.3">
      <c r="A79">
        <v>10</v>
      </c>
      <c r="B79" t="s">
        <v>253</v>
      </c>
      <c r="C79" t="s">
        <v>160</v>
      </c>
      <c r="D79">
        <v>10</v>
      </c>
    </row>
    <row r="80" spans="1:4" x14ac:dyDescent="0.3">
      <c r="A80">
        <v>3</v>
      </c>
      <c r="B80" t="s">
        <v>252</v>
      </c>
      <c r="C80" t="s">
        <v>120</v>
      </c>
      <c r="D80">
        <v>3</v>
      </c>
    </row>
    <row r="81" spans="1:4" x14ac:dyDescent="0.3">
      <c r="A81">
        <v>10</v>
      </c>
      <c r="B81" t="s">
        <v>251</v>
      </c>
      <c r="C81" t="s">
        <v>160</v>
      </c>
      <c r="D81">
        <v>10</v>
      </c>
    </row>
    <row r="82" spans="1:4" x14ac:dyDescent="0.3">
      <c r="A82">
        <v>9</v>
      </c>
      <c r="B82" t="s">
        <v>250</v>
      </c>
      <c r="C82" t="s">
        <v>124</v>
      </c>
      <c r="D82">
        <v>9</v>
      </c>
    </row>
    <row r="85" spans="1:4" x14ac:dyDescent="0.3">
      <c r="A85" s="473" t="s">
        <v>616</v>
      </c>
    </row>
    <row r="86" spans="1:4" ht="30.75" thickBot="1" x14ac:dyDescent="0.35">
      <c r="A86" s="538" t="s">
        <v>617</v>
      </c>
      <c r="B86" s="539" t="s">
        <v>618</v>
      </c>
    </row>
    <row r="87" spans="1:4" x14ac:dyDescent="0.3">
      <c r="A87" s="540">
        <v>111</v>
      </c>
      <c r="B87" s="540" t="s">
        <v>642</v>
      </c>
    </row>
    <row r="88" spans="1:4" ht="31.5" x14ac:dyDescent="0.3">
      <c r="A88" s="540">
        <v>112</v>
      </c>
      <c r="B88" s="540" t="s">
        <v>643</v>
      </c>
    </row>
    <row r="89" spans="1:4" x14ac:dyDescent="0.3">
      <c r="A89" s="540">
        <v>113</v>
      </c>
      <c r="B89" s="540" t="s">
        <v>644</v>
      </c>
    </row>
    <row r="90" spans="1:4" ht="31.5" x14ac:dyDescent="0.3">
      <c r="A90" s="540">
        <v>114</v>
      </c>
      <c r="B90" s="540" t="s">
        <v>714</v>
      </c>
    </row>
    <row r="91" spans="1:4" ht="31.5" x14ac:dyDescent="0.3">
      <c r="A91" s="540">
        <v>115</v>
      </c>
      <c r="B91" s="540" t="s">
        <v>645</v>
      </c>
    </row>
    <row r="92" spans="1:4" x14ac:dyDescent="0.3">
      <c r="A92" s="540">
        <v>211</v>
      </c>
      <c r="B92" s="540" t="s">
        <v>646</v>
      </c>
    </row>
    <row r="93" spans="1:4" x14ac:dyDescent="0.3">
      <c r="A93" s="540">
        <v>212</v>
      </c>
      <c r="B93" s="540" t="s">
        <v>647</v>
      </c>
    </row>
    <row r="94" spans="1:4" ht="31.5" x14ac:dyDescent="0.3">
      <c r="A94" s="540">
        <v>213</v>
      </c>
      <c r="B94" s="540" t="s">
        <v>648</v>
      </c>
    </row>
    <row r="95" spans="1:4" x14ac:dyDescent="0.3">
      <c r="A95" s="540">
        <v>221</v>
      </c>
      <c r="B95" s="540" t="s">
        <v>619</v>
      </c>
    </row>
    <row r="96" spans="1:4" x14ac:dyDescent="0.3">
      <c r="A96" s="540">
        <v>236</v>
      </c>
      <c r="B96" s="540" t="s">
        <v>649</v>
      </c>
    </row>
    <row r="97" spans="1:2" ht="31.5" x14ac:dyDescent="0.3">
      <c r="A97" s="540">
        <v>237</v>
      </c>
      <c r="B97" s="540" t="s">
        <v>650</v>
      </c>
    </row>
    <row r="98" spans="1:2" ht="31.5" x14ac:dyDescent="0.3">
      <c r="A98" s="540">
        <v>238</v>
      </c>
      <c r="B98" s="540" t="s">
        <v>713</v>
      </c>
    </row>
    <row r="99" spans="1:2" x14ac:dyDescent="0.3">
      <c r="A99" s="540">
        <v>311</v>
      </c>
      <c r="B99" s="540" t="s">
        <v>651</v>
      </c>
    </row>
    <row r="100" spans="1:2" ht="31.5" x14ac:dyDescent="0.3">
      <c r="A100" s="540">
        <v>312</v>
      </c>
      <c r="B100" s="540" t="s">
        <v>712</v>
      </c>
    </row>
    <row r="101" spans="1:2" x14ac:dyDescent="0.3">
      <c r="A101" s="540">
        <v>313</v>
      </c>
      <c r="B101" s="540" t="s">
        <v>711</v>
      </c>
    </row>
    <row r="102" spans="1:2" x14ac:dyDescent="0.3">
      <c r="A102" s="540">
        <v>314</v>
      </c>
      <c r="B102" s="540" t="s">
        <v>710</v>
      </c>
    </row>
    <row r="103" spans="1:2" x14ac:dyDescent="0.3">
      <c r="A103" s="540">
        <v>315</v>
      </c>
      <c r="B103" s="540" t="s">
        <v>652</v>
      </c>
    </row>
    <row r="104" spans="1:2" ht="31.5" x14ac:dyDescent="0.3">
      <c r="A104" s="540">
        <v>316</v>
      </c>
      <c r="B104" s="540" t="s">
        <v>653</v>
      </c>
    </row>
    <row r="105" spans="1:2" ht="31.5" x14ac:dyDescent="0.3">
      <c r="A105" s="540">
        <v>321</v>
      </c>
      <c r="B105" s="540" t="s">
        <v>654</v>
      </c>
    </row>
    <row r="106" spans="1:2" x14ac:dyDescent="0.3">
      <c r="A106" s="540">
        <v>322</v>
      </c>
      <c r="B106" s="540" t="s">
        <v>655</v>
      </c>
    </row>
    <row r="107" spans="1:2" ht="31.5" x14ac:dyDescent="0.3">
      <c r="A107" s="540">
        <v>323</v>
      </c>
      <c r="B107" s="540" t="s">
        <v>656</v>
      </c>
    </row>
    <row r="108" spans="1:2" ht="31.5" x14ac:dyDescent="0.3">
      <c r="A108" s="540">
        <v>324</v>
      </c>
      <c r="B108" s="540" t="s">
        <v>657</v>
      </c>
    </row>
    <row r="109" spans="1:2" x14ac:dyDescent="0.3">
      <c r="A109" s="540">
        <v>325</v>
      </c>
      <c r="B109" s="540" t="s">
        <v>658</v>
      </c>
    </row>
    <row r="110" spans="1:2" ht="31.5" x14ac:dyDescent="0.3">
      <c r="A110" s="540">
        <v>326</v>
      </c>
      <c r="B110" s="540" t="s">
        <v>659</v>
      </c>
    </row>
    <row r="111" spans="1:2" ht="31.5" x14ac:dyDescent="0.3">
      <c r="A111" s="540">
        <v>327</v>
      </c>
      <c r="B111" s="540" t="s">
        <v>660</v>
      </c>
    </row>
    <row r="112" spans="1:2" ht="31.5" x14ac:dyDescent="0.3">
      <c r="A112" s="540">
        <v>331</v>
      </c>
      <c r="B112" s="540" t="s">
        <v>661</v>
      </c>
    </row>
    <row r="113" spans="1:2" ht="31.5" x14ac:dyDescent="0.3">
      <c r="A113" s="540">
        <v>332</v>
      </c>
      <c r="B113" s="540" t="s">
        <v>662</v>
      </c>
    </row>
    <row r="114" spans="1:2" x14ac:dyDescent="0.3">
      <c r="A114" s="540">
        <v>333</v>
      </c>
      <c r="B114" s="540" t="s">
        <v>663</v>
      </c>
    </row>
    <row r="115" spans="1:2" ht="31.5" x14ac:dyDescent="0.3">
      <c r="A115" s="540">
        <v>334</v>
      </c>
      <c r="B115" s="540" t="s">
        <v>664</v>
      </c>
    </row>
    <row r="116" spans="1:2" ht="47.25" x14ac:dyDescent="0.3">
      <c r="A116" s="540">
        <v>335</v>
      </c>
      <c r="B116" s="540" t="s">
        <v>665</v>
      </c>
    </row>
    <row r="117" spans="1:2" ht="31.5" x14ac:dyDescent="0.3">
      <c r="A117" s="540">
        <v>336</v>
      </c>
      <c r="B117" s="540" t="s">
        <v>703</v>
      </c>
    </row>
    <row r="118" spans="1:2" ht="31.5" x14ac:dyDescent="0.3">
      <c r="A118" s="540">
        <v>337</v>
      </c>
      <c r="B118" s="540" t="s">
        <v>666</v>
      </c>
    </row>
    <row r="119" spans="1:2" ht="31.5" x14ac:dyDescent="0.3">
      <c r="A119" s="540">
        <v>339</v>
      </c>
      <c r="B119" s="540" t="s">
        <v>667</v>
      </c>
    </row>
    <row r="120" spans="1:2" ht="31.5" x14ac:dyDescent="0.3">
      <c r="A120" s="540">
        <v>423</v>
      </c>
      <c r="B120" s="540" t="s">
        <v>620</v>
      </c>
    </row>
    <row r="121" spans="1:2" ht="31.5" x14ac:dyDescent="0.3">
      <c r="A121" s="540">
        <v>424</v>
      </c>
      <c r="B121" s="540" t="s">
        <v>621</v>
      </c>
    </row>
    <row r="122" spans="1:2" ht="47.25" x14ac:dyDescent="0.3">
      <c r="A122" s="540">
        <v>425</v>
      </c>
      <c r="B122" s="540" t="s">
        <v>622</v>
      </c>
    </row>
    <row r="123" spans="1:2" ht="31.5" x14ac:dyDescent="0.3">
      <c r="A123" s="540">
        <v>441</v>
      </c>
      <c r="B123" s="540" t="s">
        <v>623</v>
      </c>
    </row>
    <row r="124" spans="1:2" ht="31.5" x14ac:dyDescent="0.3">
      <c r="A124" s="540">
        <v>442</v>
      </c>
      <c r="B124" s="540" t="s">
        <v>624</v>
      </c>
    </row>
    <row r="125" spans="1:2" ht="31.5" x14ac:dyDescent="0.3">
      <c r="A125" s="540">
        <v>443</v>
      </c>
      <c r="B125" s="540" t="s">
        <v>625</v>
      </c>
    </row>
    <row r="126" spans="1:2" ht="47.25" x14ac:dyDescent="0.3">
      <c r="A126" s="540">
        <v>444</v>
      </c>
      <c r="B126" s="540" t="s">
        <v>626</v>
      </c>
    </row>
    <row r="127" spans="1:2" x14ac:dyDescent="0.3">
      <c r="A127" s="540">
        <v>445</v>
      </c>
      <c r="B127" s="540" t="s">
        <v>627</v>
      </c>
    </row>
    <row r="128" spans="1:2" ht="31.5" x14ac:dyDescent="0.3">
      <c r="A128" s="540">
        <v>446</v>
      </c>
      <c r="B128" s="540" t="s">
        <v>628</v>
      </c>
    </row>
    <row r="129" spans="1:2" x14ac:dyDescent="0.3">
      <c r="A129" s="540">
        <v>447</v>
      </c>
      <c r="B129" s="540" t="s">
        <v>629</v>
      </c>
    </row>
    <row r="130" spans="1:2" ht="31.5" x14ac:dyDescent="0.3">
      <c r="A130" s="540">
        <v>448</v>
      </c>
      <c r="B130" s="540" t="s">
        <v>630</v>
      </c>
    </row>
    <row r="131" spans="1:2" ht="47.25" x14ac:dyDescent="0.3">
      <c r="A131" s="540">
        <v>451</v>
      </c>
      <c r="B131" s="540" t="s">
        <v>631</v>
      </c>
    </row>
    <row r="132" spans="1:2" ht="31.5" x14ac:dyDescent="0.3">
      <c r="A132" s="540">
        <v>452</v>
      </c>
      <c r="B132" s="540" t="s">
        <v>632</v>
      </c>
    </row>
    <row r="133" spans="1:2" ht="31.5" x14ac:dyDescent="0.3">
      <c r="A133" s="540">
        <v>453</v>
      </c>
      <c r="B133" s="540" t="s">
        <v>633</v>
      </c>
    </row>
    <row r="134" spans="1:2" x14ac:dyDescent="0.3">
      <c r="A134" s="540">
        <v>454</v>
      </c>
      <c r="B134" s="540" t="s">
        <v>634</v>
      </c>
    </row>
    <row r="135" spans="1:2" x14ac:dyDescent="0.3">
      <c r="A135" s="540">
        <v>481</v>
      </c>
      <c r="B135" s="540" t="s">
        <v>704</v>
      </c>
    </row>
    <row r="136" spans="1:2" x14ac:dyDescent="0.3">
      <c r="A136" s="540">
        <v>482</v>
      </c>
      <c r="B136" s="540" t="s">
        <v>705</v>
      </c>
    </row>
    <row r="137" spans="1:2" x14ac:dyDescent="0.3">
      <c r="A137" s="540">
        <v>483</v>
      </c>
      <c r="B137" s="540" t="s">
        <v>706</v>
      </c>
    </row>
    <row r="138" spans="1:2" x14ac:dyDescent="0.3">
      <c r="A138" s="540">
        <v>484</v>
      </c>
      <c r="B138" s="540" t="s">
        <v>707</v>
      </c>
    </row>
    <row r="139" spans="1:2" ht="31.5" x14ac:dyDescent="0.3">
      <c r="A139" s="540">
        <v>485</v>
      </c>
      <c r="B139" s="540" t="s">
        <v>708</v>
      </c>
    </row>
    <row r="140" spans="1:2" x14ac:dyDescent="0.3">
      <c r="A140" s="540">
        <v>486</v>
      </c>
      <c r="B140" s="540" t="s">
        <v>702</v>
      </c>
    </row>
    <row r="141" spans="1:2" ht="31.5" x14ac:dyDescent="0.3">
      <c r="A141" s="540">
        <v>487</v>
      </c>
      <c r="B141" s="540" t="s">
        <v>709</v>
      </c>
    </row>
    <row r="142" spans="1:2" ht="31.5" x14ac:dyDescent="0.3">
      <c r="A142" s="540">
        <v>488</v>
      </c>
      <c r="B142" s="540" t="s">
        <v>701</v>
      </c>
    </row>
    <row r="143" spans="1:2" x14ac:dyDescent="0.3">
      <c r="A143" s="540">
        <v>491</v>
      </c>
      <c r="B143" s="540" t="s">
        <v>668</v>
      </c>
    </row>
    <row r="144" spans="1:2" x14ac:dyDescent="0.3">
      <c r="A144" s="540">
        <v>492</v>
      </c>
      <c r="B144" s="540" t="s">
        <v>669</v>
      </c>
    </row>
    <row r="145" spans="1:2" x14ac:dyDescent="0.3">
      <c r="A145" s="540">
        <v>493</v>
      </c>
      <c r="B145" s="540" t="s">
        <v>670</v>
      </c>
    </row>
    <row r="146" spans="1:2" ht="31.5" x14ac:dyDescent="0.3">
      <c r="A146" s="540">
        <v>511</v>
      </c>
      <c r="B146" s="540" t="s">
        <v>671</v>
      </c>
    </row>
    <row r="147" spans="1:2" ht="31.5" x14ac:dyDescent="0.3">
      <c r="A147" s="540">
        <v>512</v>
      </c>
      <c r="B147" s="540" t="s">
        <v>672</v>
      </c>
    </row>
    <row r="148" spans="1:2" ht="31.5" x14ac:dyDescent="0.3">
      <c r="A148" s="540">
        <v>515</v>
      </c>
      <c r="B148" s="540" t="s">
        <v>673</v>
      </c>
    </row>
    <row r="149" spans="1:2" x14ac:dyDescent="0.3">
      <c r="A149" s="540">
        <v>517</v>
      </c>
      <c r="B149" s="540" t="s">
        <v>700</v>
      </c>
    </row>
    <row r="150" spans="1:2" ht="31.5" x14ac:dyDescent="0.3">
      <c r="A150" s="540">
        <v>518</v>
      </c>
      <c r="B150" s="540" t="s">
        <v>674</v>
      </c>
    </row>
    <row r="151" spans="1:2" x14ac:dyDescent="0.3">
      <c r="A151" s="540">
        <v>519</v>
      </c>
      <c r="B151" s="540" t="s">
        <v>675</v>
      </c>
    </row>
    <row r="152" spans="1:2" ht="31.5" x14ac:dyDescent="0.3">
      <c r="A152" s="540">
        <v>521</v>
      </c>
      <c r="B152" s="540" t="s">
        <v>676</v>
      </c>
    </row>
    <row r="153" spans="1:2" ht="31.5" x14ac:dyDescent="0.3">
      <c r="A153" s="540">
        <v>522</v>
      </c>
      <c r="B153" s="540" t="s">
        <v>677</v>
      </c>
    </row>
    <row r="154" spans="1:2" ht="63" x14ac:dyDescent="0.3">
      <c r="A154" s="540">
        <v>523</v>
      </c>
      <c r="B154" s="540" t="s">
        <v>678</v>
      </c>
    </row>
    <row r="155" spans="1:2" ht="31.5" x14ac:dyDescent="0.3">
      <c r="A155" s="540">
        <v>524</v>
      </c>
      <c r="B155" s="540" t="s">
        <v>679</v>
      </c>
    </row>
    <row r="156" spans="1:2" ht="31.5" x14ac:dyDescent="0.3">
      <c r="A156" s="540">
        <v>525</v>
      </c>
      <c r="B156" s="540" t="s">
        <v>717</v>
      </c>
    </row>
    <row r="157" spans="1:2" x14ac:dyDescent="0.3">
      <c r="A157" s="540">
        <v>531</v>
      </c>
      <c r="B157" s="540" t="s">
        <v>680</v>
      </c>
    </row>
    <row r="158" spans="1:2" ht="31.5" x14ac:dyDescent="0.3">
      <c r="A158" s="540">
        <v>532</v>
      </c>
      <c r="B158" s="540" t="s">
        <v>681</v>
      </c>
    </row>
    <row r="159" spans="1:2" ht="47.25" x14ac:dyDescent="0.3">
      <c r="A159" s="540">
        <v>533</v>
      </c>
      <c r="B159" s="540" t="s">
        <v>682</v>
      </c>
    </row>
    <row r="160" spans="1:2" ht="31.5" x14ac:dyDescent="0.3">
      <c r="A160" s="540">
        <v>541</v>
      </c>
      <c r="B160" s="540" t="s">
        <v>718</v>
      </c>
    </row>
    <row r="161" spans="1:2" ht="47.25" x14ac:dyDescent="0.3">
      <c r="A161" s="540">
        <v>551</v>
      </c>
      <c r="B161" s="540" t="s">
        <v>683</v>
      </c>
    </row>
    <row r="162" spans="1:2" ht="31.5" x14ac:dyDescent="0.3">
      <c r="A162" s="540">
        <v>561</v>
      </c>
      <c r="B162" s="540" t="s">
        <v>684</v>
      </c>
    </row>
    <row r="163" spans="1:2" ht="31.5" x14ac:dyDescent="0.3">
      <c r="A163" s="540">
        <v>562</v>
      </c>
      <c r="B163" s="540" t="s">
        <v>685</v>
      </c>
    </row>
    <row r="164" spans="1:2" x14ac:dyDescent="0.3">
      <c r="A164" s="540">
        <v>611</v>
      </c>
      <c r="B164" s="540" t="s">
        <v>686</v>
      </c>
    </row>
    <row r="165" spans="1:2" ht="31.5" x14ac:dyDescent="0.3">
      <c r="A165" s="540">
        <v>621</v>
      </c>
      <c r="B165" s="540" t="s">
        <v>687</v>
      </c>
    </row>
    <row r="166" spans="1:2" x14ac:dyDescent="0.3">
      <c r="A166" s="540">
        <v>622</v>
      </c>
      <c r="B166" s="540" t="s">
        <v>688</v>
      </c>
    </row>
    <row r="167" spans="1:2" ht="31.5" x14ac:dyDescent="0.3">
      <c r="A167" s="540">
        <v>623</v>
      </c>
      <c r="B167" s="540" t="s">
        <v>689</v>
      </c>
    </row>
    <row r="168" spans="1:2" x14ac:dyDescent="0.3">
      <c r="A168" s="540">
        <v>624</v>
      </c>
      <c r="B168" s="540" t="s">
        <v>690</v>
      </c>
    </row>
    <row r="169" spans="1:2" ht="47.25" x14ac:dyDescent="0.3">
      <c r="A169" s="540">
        <v>711</v>
      </c>
      <c r="B169" s="540" t="s">
        <v>691</v>
      </c>
    </row>
    <row r="170" spans="1:2" ht="31.5" x14ac:dyDescent="0.3">
      <c r="A170" s="540">
        <v>712</v>
      </c>
      <c r="B170" s="540" t="s">
        <v>692</v>
      </c>
    </row>
    <row r="171" spans="1:2" ht="31.5" x14ac:dyDescent="0.3">
      <c r="A171" s="540">
        <v>713</v>
      </c>
      <c r="B171" s="540" t="s">
        <v>693</v>
      </c>
    </row>
    <row r="172" spans="1:2" x14ac:dyDescent="0.3">
      <c r="A172" s="540">
        <v>721</v>
      </c>
      <c r="B172" s="540" t="s">
        <v>694</v>
      </c>
    </row>
    <row r="173" spans="1:2" ht="31.5" x14ac:dyDescent="0.3">
      <c r="A173" s="540">
        <v>722</v>
      </c>
      <c r="B173" s="540" t="s">
        <v>695</v>
      </c>
    </row>
    <row r="174" spans="1:2" x14ac:dyDescent="0.3">
      <c r="A174" s="540">
        <v>811</v>
      </c>
      <c r="B174" s="540" t="s">
        <v>696</v>
      </c>
    </row>
    <row r="175" spans="1:2" ht="31.5" x14ac:dyDescent="0.3">
      <c r="A175" s="540">
        <v>812</v>
      </c>
      <c r="B175" s="540" t="s">
        <v>697</v>
      </c>
    </row>
    <row r="176" spans="1:2" ht="47.25" x14ac:dyDescent="0.3">
      <c r="A176" s="540">
        <v>813</v>
      </c>
      <c r="B176" s="540" t="s">
        <v>698</v>
      </c>
    </row>
    <row r="177" spans="1:2" x14ac:dyDescent="0.3">
      <c r="A177" s="540">
        <v>814</v>
      </c>
      <c r="B177" s="540" t="s">
        <v>699</v>
      </c>
    </row>
    <row r="178" spans="1:2" ht="47.25" x14ac:dyDescent="0.3">
      <c r="A178" s="540">
        <v>921</v>
      </c>
      <c r="B178" s="540" t="s">
        <v>635</v>
      </c>
    </row>
    <row r="179" spans="1:2" ht="31.5" x14ac:dyDescent="0.3">
      <c r="A179" s="540">
        <v>922</v>
      </c>
      <c r="B179" s="540" t="s">
        <v>636</v>
      </c>
    </row>
    <row r="180" spans="1:2" ht="31.5" x14ac:dyDescent="0.3">
      <c r="A180" s="540">
        <v>923</v>
      </c>
      <c r="B180" s="540" t="s">
        <v>637</v>
      </c>
    </row>
    <row r="181" spans="1:2" ht="47.25" x14ac:dyDescent="0.3">
      <c r="A181" s="540">
        <v>924</v>
      </c>
      <c r="B181" s="540" t="s">
        <v>638</v>
      </c>
    </row>
    <row r="182" spans="1:2" ht="63" x14ac:dyDescent="0.3">
      <c r="A182" s="540">
        <v>925</v>
      </c>
      <c r="B182" s="540" t="s">
        <v>639</v>
      </c>
    </row>
    <row r="183" spans="1:2" ht="31.5" x14ac:dyDescent="0.3">
      <c r="A183" s="540">
        <v>926</v>
      </c>
      <c r="B183" s="540" t="s">
        <v>640</v>
      </c>
    </row>
    <row r="184" spans="1:2" ht="31.5" x14ac:dyDescent="0.3">
      <c r="A184" s="540">
        <v>927</v>
      </c>
      <c r="B184" s="540" t="s">
        <v>719</v>
      </c>
    </row>
    <row r="185" spans="1:2" ht="31.5" x14ac:dyDescent="0.3">
      <c r="A185" s="540">
        <v>928</v>
      </c>
      <c r="B185" s="540" t="s">
        <v>641</v>
      </c>
    </row>
  </sheetData>
  <dataValidations count="1">
    <dataValidation type="list" allowBlank="1" showInputMessage="1" showErrorMessage="1" sqref="A2:B13 F2:F13">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election activeCell="K29" sqref="K29"/>
    </sheetView>
  </sheetViews>
  <sheetFormatPr defaultRowHeight="18.75" x14ac:dyDescent="0.3"/>
  <cols>
    <col min="10" max="10" width="11.0976562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DCDateModifi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6FA3260F9D2F489E80FD7C693DB6EB" ma:contentTypeVersion="3" ma:contentTypeDescription="Create a new document." ma:contentTypeScope="" ma:versionID="93498dc1b9986402aabbaf1d09eb6fd4">
  <xsd:schema xmlns:xsd="http://www.w3.org/2001/XMLSchema" xmlns:p="http://schemas.microsoft.com/office/2006/metadata/properties" xmlns:ns3="http://schemas.microsoft.com/sharepoint/v3/fields" targetNamespace="http://schemas.microsoft.com/office/2006/metadata/properties" ma:root="true" ma:fieldsID="1f345097a8acb258ede33065c692e9c9" ns3:_="">
    <xsd:import namespace="http://schemas.microsoft.com/sharepoint/v3/fields"/>
    <xsd:element name="properties">
      <xsd:complexType>
        <xsd:sequence>
          <xsd:element name="documentManagement">
            <xsd:complexType>
              <xsd:all>
                <xsd:element ref="ns3:_DCDateModified" minOccurs="0"/>
              </xsd:all>
            </xsd:complexType>
          </xsd:element>
        </xsd:sequence>
      </xsd:complex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Modified" ma:index="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570F2-5A3C-4727-A514-5B2055D4CB00}">
  <ds:schemaRef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077EBA2F-3D8A-4B6C-AF9C-A57E6D095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695CE5B-FCC4-465F-B1C3-E122DC6B82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Area Data</vt:lpstr>
      <vt:lpstr>Area Indicators</vt:lpstr>
      <vt:lpstr>Area Measures </vt:lpstr>
      <vt:lpstr>State Data</vt:lpstr>
      <vt:lpstr>State Indicators</vt:lpstr>
      <vt:lpstr>State Measures</vt:lpstr>
      <vt:lpstr>Definitions</vt:lpstr>
      <vt:lpstr>County Wages</vt:lpstr>
      <vt:lpstr>State PivotTables</vt:lpstr>
      <vt:lpstr>Area Pivot Tables</vt:lpstr>
      <vt:lpstr>DBPivot</vt:lpstr>
      <vt:lpstr>Common Measures</vt:lpstr>
      <vt:lpstr>PopAgeSexRacePivot</vt:lpstr>
      <vt:lpstr>Educational Attainment</vt:lpstr>
      <vt:lpstr>Lists</vt:lpstr>
      <vt:lpstr>WIA Title IB Charts</vt:lpstr>
      <vt:lpstr>DBPivot!Area</vt:lpstr>
      <vt:lpstr>Area</vt:lpstr>
      <vt:lpstr>Counties</vt:lpstr>
      <vt:lpstr>'Area Data'!Print_Area</vt:lpstr>
      <vt:lpstr>'Area Indicators'!Print_Area</vt:lpstr>
      <vt:lpstr>'Area Measures '!Print_Area</vt:lpstr>
      <vt:lpstr>Definitions!Print_Area</vt:lpstr>
      <vt:lpstr>'State Data'!Print_Area</vt:lpstr>
      <vt:lpstr>'State Indicators'!Print_Area</vt:lpstr>
      <vt:lpstr>'State Measures'!Print_Area</vt:lpstr>
      <vt:lpstr>DBPivot!qUARTERS</vt:lpstr>
      <vt:lpstr>qUARTERS</vt:lpstr>
    </vt:vector>
  </TitlesOfParts>
  <Company>ESD - State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swheeler</dc:creator>
  <cp:lastModifiedBy>Haglund, Robert (ESD)</cp:lastModifiedBy>
  <cp:lastPrinted>2012-02-14T17:43:33Z</cp:lastPrinted>
  <dcterms:created xsi:type="dcterms:W3CDTF">2011-05-03T22:22:40Z</dcterms:created>
  <dcterms:modified xsi:type="dcterms:W3CDTF">2014-08-20T15:36:09Z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0x010100D26FA3260F9D2F489E80FD7C693DB6EB</vt:lpwstr>
  </property>
</Properties>
</file>