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pivotCache/pivotCacheDefinition5.xml" ContentType="application/vnd.openxmlformats-officedocument.spreadsheetml.pivotCacheDefinition+xml"/>
  <Override PartName="/xl/pivotCache/pivotCacheRecords5.xml" ContentType="application/vnd.openxmlformats-officedocument.spreadsheetml.pivotCacheRecords+xml"/>
  <Override PartName="/xl/pivotCache/pivotCacheDefinition6.xml" ContentType="application/vnd.openxmlformats-officedocument.spreadsheetml.pivotCacheDefinition+xml"/>
  <Override PartName="/xl/pivotCache/pivotCacheRecords6.xml" ContentType="application/vnd.openxmlformats-officedocument.spreadsheetml.pivotCacheRecords+xml"/>
  <Override PartName="/xl/pivotCache/pivotCacheDefinition7.xml" ContentType="application/vnd.openxmlformats-officedocument.spreadsheetml.pivotCacheDefinition+xml"/>
  <Override PartName="/xl/pivotCache/pivotCacheRecords7.xml" ContentType="application/vnd.openxmlformats-officedocument.spreadsheetml.pivotCacheRecords+xml"/>
  <Override PartName="/xl/pivotCache/pivotCacheDefinition8.xml" ContentType="application/vnd.openxmlformats-officedocument.spreadsheetml.pivotCacheDefinition+xml"/>
  <Override PartName="/xl/pivotCache/pivotCacheRecords8.xml" ContentType="application/vnd.openxmlformats-officedocument.spreadsheetml.pivotCacheRecords+xml"/>
  <Override PartName="/xl/pivotCache/pivotCacheDefinition9.xml" ContentType="application/vnd.openxmlformats-officedocument.spreadsheetml.pivotCacheDefinition+xml"/>
  <Override PartName="/xl/pivotCache/pivotCacheRecords9.xml" ContentType="application/vnd.openxmlformats-officedocument.spreadsheetml.pivotCacheRecords+xml"/>
  <Override PartName="/xl/pivotCache/pivotCacheDefinition10.xml" ContentType="application/vnd.openxmlformats-officedocument.spreadsheetml.pivotCacheDefinition+xml"/>
  <Override PartName="/xl/pivotCache/pivotCacheRecords10.xml" ContentType="application/vnd.openxmlformats-officedocument.spreadsheetml.pivotCacheRecords+xml"/>
  <Override PartName="/xl/pivotCache/pivotCacheDefinition11.xml" ContentType="application/vnd.openxmlformats-officedocument.spreadsheetml.pivotCacheDefinition+xml"/>
  <Override PartName="/xl/pivotCache/pivotCacheRecords11.xml" ContentType="application/vnd.openxmlformats-officedocument.spreadsheetml.pivotCacheRecords+xml"/>
  <Override PartName="/xl/pivotCache/pivotCacheDefinition12.xml" ContentType="application/vnd.openxmlformats-officedocument.spreadsheetml.pivotCacheDefinition+xml"/>
  <Override PartName="/xl/pivotCache/pivotCacheRecords12.xml" ContentType="application/vnd.openxmlformats-officedocument.spreadsheetml.pivotCacheRecords+xml"/>
  <Override PartName="/xl/pivotCache/pivotCacheDefinition13.xml" ContentType="application/vnd.openxmlformats-officedocument.spreadsheetml.pivotCacheDefinition+xml"/>
  <Override PartName="/xl/pivotCache/pivotCacheRecords13.xml" ContentType="application/vnd.openxmlformats-officedocument.spreadsheetml.pivotCacheRecords+xml"/>
  <Override PartName="/xl/pivotCache/pivotCacheDefinition14.xml" ContentType="application/vnd.openxmlformats-officedocument.spreadsheetml.pivotCacheDefinition+xml"/>
  <Override PartName="/xl/pivotCache/pivotCacheRecords14.xml" ContentType="application/vnd.openxmlformats-officedocument.spreadsheetml.pivotCacheRecords+xml"/>
  <Override PartName="/xl/pivotCache/pivotCacheDefinition15.xml" ContentType="application/vnd.openxmlformats-officedocument.spreadsheetml.pivotCacheDefinition+xml"/>
  <Override PartName="/xl/pivotCache/pivotCacheRecords15.xml" ContentType="application/vnd.openxmlformats-officedocument.spreadsheetml.pivotCacheRecords+xml"/>
  <Override PartName="/xl/pivotCache/pivotCacheDefinition16.xml" ContentType="application/vnd.openxmlformats-officedocument.spreadsheetml.pivotCacheDefinition+xml"/>
  <Override PartName="/xl/pivotCache/pivotCacheRecords16.xml" ContentType="application/vnd.openxmlformats-officedocument.spreadsheetml.pivotCacheRecords+xml"/>
  <Override PartName="/xl/pivotCache/pivotCacheDefinition17.xml" ContentType="application/vnd.openxmlformats-officedocument.spreadsheetml.pivotCacheDefinition+xml"/>
  <Override PartName="/xl/pivotCache/pivotCacheRecords17.xml" ContentType="application/vnd.openxmlformats-officedocument.spreadsheetml.pivotCacheRecords+xml"/>
  <Override PartName="/xl/pivotCache/pivotCacheDefinition18.xml" ContentType="application/vnd.openxmlformats-officedocument.spreadsheetml.pivotCacheDefinition+xml"/>
  <Override PartName="/xl/pivotCache/pivotCacheRecords18.xml" ContentType="application/vnd.openxmlformats-officedocument.spreadsheetml.pivotCacheRecords+xml"/>
  <Override PartName="/xl/pivotCache/pivotCacheDefinition19.xml" ContentType="application/vnd.openxmlformats-officedocument.spreadsheetml.pivotCacheDefinition+xml"/>
  <Override PartName="/xl/pivotCache/pivotCacheRecords19.xml" ContentType="application/vnd.openxmlformats-officedocument.spreadsheetml.pivotCacheRecords+xml"/>
  <Override PartName="/xl/pivotCache/pivotCacheDefinition20.xml" ContentType="application/vnd.openxmlformats-officedocument.spreadsheetml.pivotCacheDefinition+xml"/>
  <Override PartName="/xl/pivotCache/pivotCacheRecords20.xml" ContentType="application/vnd.openxmlformats-officedocument.spreadsheetml.pivotCacheRecords+xml"/>
  <Override PartName="/xl/pivotCache/pivotCacheDefinition21.xml" ContentType="application/vnd.openxmlformats-officedocument.spreadsheetml.pivotCacheDefinition+xml"/>
  <Override PartName="/xl/pivotCache/pivotCacheRecords2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2.xml" ContentType="application/vnd.openxmlformats-officedocument.drawing+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charts/chart8.xml" ContentType="application/vnd.openxmlformats-officedocument.drawingml.chart+xml"/>
  <Override PartName="/xl/theme/themeOverride3.xml" ContentType="application/vnd.openxmlformats-officedocument.themeOverride+xml"/>
  <Override PartName="/xl/comments2.xml" ContentType="application/vnd.openxmlformats-officedocument.spreadsheetml.comments+xml"/>
  <Override PartName="/xl/drawings/drawing3.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drawings/drawing4.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drawings/drawing5.xml" ContentType="application/vnd.openxmlformats-officedocument.drawing+xml"/>
  <Override PartName="/xl/embeddings/oleObject1.bin" ContentType="application/vnd.openxmlformats-officedocument.oleObject"/>
  <Override PartName="/xl/comments3.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pivotTables/pivotTable10.xml" ContentType="application/vnd.openxmlformats-officedocument.spreadsheetml.pivotTable+xml"/>
  <Override PartName="/xl/pivotTables/pivotTable11.xml" ContentType="application/vnd.openxmlformats-officedocument.spreadsheetml.pivotTable+xml"/>
  <Override PartName="/xl/pivotTables/pivotTable12.xml" ContentType="application/vnd.openxmlformats-officedocument.spreadsheetml.pivotTable+xml"/>
  <Override PartName="/xl/pivotTables/pivotTable13.xml" ContentType="application/vnd.openxmlformats-officedocument.spreadsheetml.pivotTable+xml"/>
  <Override PartName="/xl/pivotTables/pivotTable14.xml" ContentType="application/vnd.openxmlformats-officedocument.spreadsheetml.pivotTable+xml"/>
  <Override PartName="/xl/pivotTables/pivotTable15.xml" ContentType="application/vnd.openxmlformats-officedocument.spreadsheetml.pivotTable+xml"/>
  <Override PartName="/xl/pivotTables/pivotTable16.xml" ContentType="application/vnd.openxmlformats-officedocument.spreadsheetml.pivotTable+xml"/>
  <Override PartName="/xl/pivotTables/pivotTable17.xml" ContentType="application/vnd.openxmlformats-officedocument.spreadsheetml.pivotTable+xml"/>
  <Override PartName="/xl/pivotTables/pivotTable18.xml" ContentType="application/vnd.openxmlformats-officedocument.spreadsheetml.pivotTable+xml"/>
  <Override PartName="/xl/pivotTables/pivotTable19.xml" ContentType="application/vnd.openxmlformats-officedocument.spreadsheetml.pivotTable+xml"/>
  <Override PartName="/xl/pivotTables/pivotTable20.xml" ContentType="application/vnd.openxmlformats-officedocument.spreadsheetml.pivotTable+xml"/>
  <Override PartName="/xl/drawings/drawing6.xml" ContentType="application/vnd.openxmlformats-officedocument.drawing+xml"/>
  <Override PartName="/xl/tables/table1.xml" ContentType="application/vnd.openxmlformats-officedocument.spreadsheetml.table+xml"/>
  <Override PartName="/xl/charts/chart17.xml" ContentType="application/vnd.openxmlformats-officedocument.drawingml.chart+xml"/>
  <Override PartName="/xl/pivotTables/pivotTable21.xml" ContentType="application/vnd.openxmlformats-officedocument.spreadsheetml.pivotTable+xml"/>
  <Override PartName="/xl/drawings/drawing7.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PivotChartFilter="1" defaultThemeVersion="124226"/>
  <bookViews>
    <workbookView xWindow="675" yWindow="1200" windowWidth="25980" windowHeight="7065" tabRatio="830"/>
  </bookViews>
  <sheets>
    <sheet name="Area Data" sheetId="57" r:id="rId1"/>
    <sheet name="Area Indicators" sheetId="83" r:id="rId2"/>
    <sheet name="Area Measures " sheetId="82" r:id="rId3"/>
    <sheet name="State Data" sheetId="77" r:id="rId4"/>
    <sheet name="State Indicators" sheetId="46" r:id="rId5"/>
    <sheet name="State Measures" sheetId="48" r:id="rId6"/>
    <sheet name="Definitions" sheetId="60" r:id="rId7"/>
    <sheet name="County Wages" sheetId="90" state="hidden" r:id="rId8"/>
    <sheet name="State PivotTables" sheetId="71" state="hidden" r:id="rId9"/>
    <sheet name="Area Pivot Tables" sheetId="81" state="hidden" r:id="rId10"/>
    <sheet name="DBPivot" sheetId="99" state="hidden" r:id="rId11"/>
    <sheet name="Common Measures" sheetId="65" state="hidden" r:id="rId12"/>
    <sheet name="PopAgeSexRacePivot" sheetId="89" state="hidden" r:id="rId13"/>
    <sheet name="Educational Attainment" sheetId="67" state="hidden" r:id="rId14"/>
    <sheet name="Lists" sheetId="70" state="hidden" r:id="rId15"/>
    <sheet name="WIA Title IB Charts" sheetId="78" state="hidden" r:id="rId16"/>
  </sheets>
  <externalReferences>
    <externalReference r:id="rId17"/>
  </externalReferences>
  <definedNames>
    <definedName name="Area">Lists!$A$2:$A$13</definedName>
    <definedName name="Counties">Lists!$A$43:$D$82</definedName>
    <definedName name="eight">8</definedName>
    <definedName name="eleven">11</definedName>
    <definedName name="five">5</definedName>
    <definedName name="four">4</definedName>
    <definedName name="lss">[1]LinkToLss!$B$2:$J$1145</definedName>
    <definedName name="nine">9</definedName>
    <definedName name="_xlnm.Print_Area" localSheetId="0">'Area Data'!$A$1:$K$43</definedName>
    <definedName name="_xlnm.Print_Area" localSheetId="1">'Area Indicators'!$A$1:$L$21</definedName>
    <definedName name="_xlnm.Print_Area" localSheetId="2">'Area Measures '!$A$1:$L$26</definedName>
    <definedName name="_xlnm.Print_Area" localSheetId="6">Definitions!$A$1:$I$34</definedName>
    <definedName name="_xlnm.Print_Area" localSheetId="3">'State Data'!$A$1:$K$42</definedName>
    <definedName name="_xlnm.Print_Area" localSheetId="4">'State Indicators'!$A$1:$L$21</definedName>
    <definedName name="_xlnm.Print_Area" localSheetId="5">'State Measures'!$A$1:$L$26</definedName>
    <definedName name="qUARTERS">Lists!$A$16:$A$41</definedName>
    <definedName name="seven">7</definedName>
    <definedName name="six">6</definedName>
    <definedName name="ten">10</definedName>
    <definedName name="three">3</definedName>
    <definedName name="twelve">12</definedName>
    <definedName name="two">2</definedName>
  </definedNames>
  <calcPr calcId="145621"/>
  <pivotCaches>
    <pivotCache cacheId="0" r:id="rId18"/>
    <pivotCache cacheId="1" r:id="rId19"/>
    <pivotCache cacheId="2" r:id="rId20"/>
    <pivotCache cacheId="3" r:id="rId21"/>
    <pivotCache cacheId="4" r:id="rId22"/>
    <pivotCache cacheId="5" r:id="rId23"/>
    <pivotCache cacheId="6" r:id="rId24"/>
    <pivotCache cacheId="7" r:id="rId25"/>
    <pivotCache cacheId="8" r:id="rId26"/>
    <pivotCache cacheId="9" r:id="rId27"/>
    <pivotCache cacheId="10" r:id="rId28"/>
    <pivotCache cacheId="11" r:id="rId29"/>
    <pivotCache cacheId="12" r:id="rId30"/>
    <pivotCache cacheId="13" r:id="rId31"/>
    <pivotCache cacheId="14" r:id="rId32"/>
    <pivotCache cacheId="15" r:id="rId33"/>
    <pivotCache cacheId="16" r:id="rId34"/>
    <pivotCache cacheId="17" r:id="rId35"/>
    <pivotCache cacheId="18" r:id="rId36"/>
    <pivotCache cacheId="19" r:id="rId37"/>
    <pivotCache cacheId="20" r:id="rId38"/>
  </pivotCaches>
</workbook>
</file>

<file path=xl/calcChain.xml><?xml version="1.0" encoding="utf-8"?>
<calcChain xmlns="http://schemas.openxmlformats.org/spreadsheetml/2006/main">
  <c r="D29" i="77" l="1"/>
  <c r="C29" i="77"/>
  <c r="D53" i="65"/>
  <c r="C51" i="65"/>
  <c r="G37" i="77"/>
  <c r="C21" i="77"/>
  <c r="N29" i="77"/>
  <c r="C32" i="77"/>
  <c r="C7" i="77"/>
  <c r="C5" i="77"/>
  <c r="D32" i="77"/>
  <c r="D31" i="77"/>
  <c r="G20" i="57" l="1"/>
  <c r="K19" i="90"/>
  <c r="L19" i="90"/>
  <c r="M19" i="90" s="1"/>
  <c r="N19" i="90" l="1"/>
  <c r="G36" i="77" s="1"/>
  <c r="M38" i="90"/>
  <c r="L38" i="90" s="1"/>
  <c r="K38" i="90" s="1"/>
  <c r="Q63" i="90"/>
  <c r="P63" i="90" s="1"/>
  <c r="O63" i="90" s="1"/>
  <c r="Q64" i="90"/>
  <c r="P64" i="90" s="1"/>
  <c r="O64" i="90" s="1"/>
  <c r="Q65" i="90"/>
  <c r="P65" i="90" s="1"/>
  <c r="O65" i="90" s="1"/>
  <c r="Q66" i="90"/>
  <c r="P66" i="90" s="1"/>
  <c r="O66" i="90" s="1"/>
  <c r="Q67" i="90"/>
  <c r="P67" i="90" s="1"/>
  <c r="O67" i="90" s="1"/>
  <c r="Q68" i="90"/>
  <c r="P68" i="90" s="1"/>
  <c r="O68" i="90" s="1"/>
  <c r="Q69" i="90"/>
  <c r="P69" i="90" s="1"/>
  <c r="O69" i="90" s="1"/>
  <c r="Q70" i="90"/>
  <c r="P70" i="90" s="1"/>
  <c r="O70" i="90" s="1"/>
  <c r="Q71" i="90"/>
  <c r="P71" i="90" s="1"/>
  <c r="O71" i="90" s="1"/>
  <c r="Q72" i="90"/>
  <c r="P72" i="90" s="1"/>
  <c r="O72" i="90" s="1"/>
  <c r="Q73" i="90"/>
  <c r="P73" i="90" s="1"/>
  <c r="O73" i="90" s="1"/>
  <c r="C52" i="65"/>
  <c r="E35" i="65"/>
  <c r="E34" i="65"/>
  <c r="F36" i="65"/>
  <c r="F53" i="65"/>
  <c r="E51" i="65"/>
  <c r="E52" i="65"/>
  <c r="J12" i="77"/>
  <c r="J8" i="77"/>
  <c r="H8" i="90"/>
  <c r="H9" i="90"/>
  <c r="H10" i="90"/>
  <c r="H11" i="90"/>
  <c r="H12" i="90"/>
  <c r="H13" i="90"/>
  <c r="H14" i="90"/>
  <c r="H15" i="90"/>
  <c r="H16" i="90"/>
  <c r="H17" i="90"/>
  <c r="H18" i="90"/>
  <c r="H19" i="90"/>
  <c r="H20" i="90"/>
  <c r="H21" i="90"/>
  <c r="H22" i="90"/>
  <c r="H23" i="90"/>
  <c r="H24" i="90"/>
  <c r="H25" i="90"/>
  <c r="H26" i="90"/>
  <c r="H27" i="90"/>
  <c r="H28" i="90"/>
  <c r="H29" i="90"/>
  <c r="H30" i="90"/>
  <c r="H31" i="90"/>
  <c r="H32" i="90"/>
  <c r="H33" i="90"/>
  <c r="H34" i="90"/>
  <c r="H35" i="90"/>
  <c r="H36" i="90"/>
  <c r="H37" i="90"/>
  <c r="H38" i="90"/>
  <c r="H39" i="90"/>
  <c r="H40" i="90"/>
  <c r="H41" i="90"/>
  <c r="H42" i="90"/>
  <c r="H43" i="90"/>
  <c r="H44" i="90"/>
  <c r="H45" i="90"/>
  <c r="H46" i="90"/>
  <c r="H7" i="90"/>
  <c r="H5" i="90"/>
  <c r="G8" i="90"/>
  <c r="G9" i="90"/>
  <c r="G10" i="90"/>
  <c r="G11" i="90"/>
  <c r="G12" i="90"/>
  <c r="G13" i="90"/>
  <c r="G14" i="90"/>
  <c r="G15" i="90"/>
  <c r="G16" i="90"/>
  <c r="G17" i="90"/>
  <c r="G18" i="90"/>
  <c r="G19" i="90"/>
  <c r="G20" i="90"/>
  <c r="G21" i="90"/>
  <c r="G22" i="90"/>
  <c r="G23" i="90"/>
  <c r="G24" i="90"/>
  <c r="G25" i="90"/>
  <c r="G26" i="90"/>
  <c r="G27" i="90"/>
  <c r="G28" i="90"/>
  <c r="G29" i="90"/>
  <c r="G30" i="90"/>
  <c r="G31" i="90"/>
  <c r="G32" i="90"/>
  <c r="G33" i="90"/>
  <c r="G34" i="90"/>
  <c r="G35" i="90"/>
  <c r="G36" i="90"/>
  <c r="G37" i="90"/>
  <c r="G38" i="90"/>
  <c r="G39" i="90"/>
  <c r="G40" i="90"/>
  <c r="G41" i="90"/>
  <c r="G42" i="90"/>
  <c r="G43" i="90"/>
  <c r="G44" i="90"/>
  <c r="G45" i="90"/>
  <c r="G46" i="90"/>
  <c r="G7" i="90"/>
  <c r="G5" i="90"/>
  <c r="A8" i="90"/>
  <c r="A9" i="90"/>
  <c r="A10" i="90"/>
  <c r="A11" i="90"/>
  <c r="A12" i="90"/>
  <c r="A13" i="90"/>
  <c r="A14" i="90"/>
  <c r="A15" i="90"/>
  <c r="A16" i="90"/>
  <c r="A17" i="90"/>
  <c r="A18" i="90"/>
  <c r="A19" i="90"/>
  <c r="A20" i="90"/>
  <c r="A21" i="90"/>
  <c r="A22" i="90"/>
  <c r="A23" i="90"/>
  <c r="A24" i="90"/>
  <c r="A25" i="90"/>
  <c r="A26" i="90"/>
  <c r="A27" i="90"/>
  <c r="A28" i="90"/>
  <c r="A29" i="90"/>
  <c r="A30" i="90"/>
  <c r="A31" i="90"/>
  <c r="A32" i="90"/>
  <c r="A33" i="90"/>
  <c r="A34" i="90"/>
  <c r="A35" i="90"/>
  <c r="A36" i="90"/>
  <c r="A37" i="90"/>
  <c r="A38" i="90"/>
  <c r="A39" i="90"/>
  <c r="A40" i="90"/>
  <c r="A41" i="90"/>
  <c r="A42" i="90"/>
  <c r="A43" i="90"/>
  <c r="A44" i="90"/>
  <c r="A45" i="90"/>
  <c r="A46" i="90"/>
  <c r="A7" i="90"/>
  <c r="L12" i="90" l="1"/>
  <c r="K10" i="90"/>
  <c r="K12" i="90"/>
  <c r="K14" i="90"/>
  <c r="K16" i="90"/>
  <c r="K18" i="90"/>
  <c r="K9" i="90"/>
  <c r="K8" i="90"/>
  <c r="K11" i="90"/>
  <c r="K13" i="90"/>
  <c r="K15" i="90"/>
  <c r="K17" i="90"/>
  <c r="K7" i="90"/>
  <c r="L18" i="90"/>
  <c r="L17" i="90"/>
  <c r="L10" i="90"/>
  <c r="L8" i="90"/>
  <c r="L16" i="90"/>
  <c r="L15" i="90"/>
  <c r="L14" i="90"/>
  <c r="M14" i="90" s="1"/>
  <c r="L13" i="90"/>
  <c r="L11" i="90"/>
  <c r="L9" i="90"/>
  <c r="L7" i="90"/>
  <c r="Q62" i="90"/>
  <c r="P62" i="90" s="1"/>
  <c r="O62" i="90" s="1"/>
  <c r="G1" i="57"/>
  <c r="G1" i="77" s="1"/>
  <c r="G32" i="77"/>
  <c r="N33" i="77"/>
  <c r="O34" i="77"/>
  <c r="N30" i="77"/>
  <c r="D30" i="77"/>
  <c r="O32" i="77"/>
  <c r="N31" i="77"/>
  <c r="O29" i="77"/>
  <c r="N28" i="77"/>
  <c r="O30" i="77"/>
  <c r="N32" i="77"/>
  <c r="N34" i="77"/>
  <c r="O26" i="77"/>
  <c r="N26" i="77"/>
  <c r="O31" i="77"/>
  <c r="O33" i="77"/>
  <c r="O28" i="77"/>
  <c r="C30" i="77"/>
  <c r="M18" i="90" l="1"/>
  <c r="N18" i="90" s="1"/>
  <c r="M10" i="90"/>
  <c r="M29" i="90" s="1"/>
  <c r="M12" i="90"/>
  <c r="M31" i="90" s="1"/>
  <c r="M13" i="90"/>
  <c r="N13" i="90" s="1"/>
  <c r="M8" i="90"/>
  <c r="M27" i="90" s="1"/>
  <c r="M11" i="90"/>
  <c r="M30" i="90" s="1"/>
  <c r="M16" i="90"/>
  <c r="M35" i="90" s="1"/>
  <c r="M17" i="90"/>
  <c r="N17" i="90" s="1"/>
  <c r="M9" i="90"/>
  <c r="M28" i="90" s="1"/>
  <c r="M15" i="90"/>
  <c r="M34" i="90" s="1"/>
  <c r="N12" i="90"/>
  <c r="N14" i="90"/>
  <c r="M33" i="90"/>
  <c r="M7" i="90"/>
  <c r="M26" i="90" s="1"/>
  <c r="K1" i="82"/>
  <c r="K1" i="46"/>
  <c r="K1" i="83"/>
  <c r="K1" i="48"/>
  <c r="I33" i="77"/>
  <c r="I34" i="77"/>
  <c r="I32" i="77"/>
  <c r="O27" i="77"/>
  <c r="I27" i="77" s="1"/>
  <c r="H32" i="77"/>
  <c r="H34" i="77"/>
  <c r="H33" i="77"/>
  <c r="N27" i="77"/>
  <c r="H27" i="77" s="1"/>
  <c r="I28" i="77"/>
  <c r="I29" i="77"/>
  <c r="I30" i="77"/>
  <c r="I31" i="77"/>
  <c r="H28" i="77"/>
  <c r="H29" i="77"/>
  <c r="H30" i="77"/>
  <c r="H31" i="77"/>
  <c r="J6" i="67"/>
  <c r="J7" i="67"/>
  <c r="J8" i="67"/>
  <c r="J9" i="67"/>
  <c r="J10" i="67"/>
  <c r="J11" i="67"/>
  <c r="J12" i="67"/>
  <c r="J13" i="67"/>
  <c r="J14" i="67"/>
  <c r="J15" i="67"/>
  <c r="J16" i="67"/>
  <c r="J5" i="67"/>
  <c r="C1" i="83"/>
  <c r="D1" i="82"/>
  <c r="H20" i="48"/>
  <c r="K25" i="48"/>
  <c r="K24" i="48"/>
  <c r="C38" i="77"/>
  <c r="C35" i="77"/>
  <c r="C41" i="77"/>
  <c r="C39" i="77"/>
  <c r="C31" i="77"/>
  <c r="C40" i="77"/>
  <c r="M37" i="90" l="1"/>
  <c r="L37" i="90" s="1"/>
  <c r="K37" i="90" s="1"/>
  <c r="N10" i="90"/>
  <c r="N11" i="90"/>
  <c r="M36" i="90"/>
  <c r="L36" i="90" s="1"/>
  <c r="K36" i="90" s="1"/>
  <c r="M32" i="90"/>
  <c r="L32" i="90" s="1"/>
  <c r="K32" i="90" s="1"/>
  <c r="N8" i="90"/>
  <c r="N16" i="90"/>
  <c r="N15" i="90"/>
  <c r="N9" i="90"/>
  <c r="N7" i="90"/>
  <c r="L26" i="90"/>
  <c r="K26" i="90" s="1"/>
  <c r="L28" i="90"/>
  <c r="K28" i="90" s="1"/>
  <c r="L33" i="90"/>
  <c r="K33" i="90" s="1"/>
  <c r="L29" i="90"/>
  <c r="K29" i="90" s="1"/>
  <c r="L34" i="90"/>
  <c r="K34" i="90" s="1"/>
  <c r="L30" i="90"/>
  <c r="K30" i="90" s="1"/>
  <c r="L35" i="90"/>
  <c r="K35" i="90" s="1"/>
  <c r="L31" i="90"/>
  <c r="K31" i="90" s="1"/>
  <c r="L27" i="90"/>
  <c r="K27" i="90" s="1"/>
  <c r="C37" i="77"/>
  <c r="I20" i="46" s="1"/>
  <c r="L20" i="46"/>
  <c r="C20" i="46"/>
  <c r="G34" i="77"/>
  <c r="K23" i="48" s="1"/>
  <c r="G33" i="77"/>
  <c r="K22" i="48" s="1"/>
  <c r="K21" i="48"/>
  <c r="K20" i="48"/>
  <c r="C19" i="77"/>
  <c r="C14" i="77"/>
  <c r="C25" i="77"/>
  <c r="C11" i="77"/>
  <c r="C9" i="77"/>
  <c r="D21" i="77"/>
  <c r="C24" i="77"/>
  <c r="C20" i="77"/>
  <c r="C22" i="77"/>
  <c r="D25" i="77"/>
  <c r="C6" i="77"/>
  <c r="D19" i="77"/>
  <c r="D20" i="77"/>
  <c r="D24" i="77"/>
  <c r="C10" i="77"/>
  <c r="C8" i="77"/>
  <c r="D22" i="77"/>
  <c r="C12" i="77"/>
  <c r="D28" i="77" l="1"/>
  <c r="C36" i="77"/>
  <c r="F20" i="46" s="1"/>
  <c r="C28" i="77"/>
  <c r="C27" i="77"/>
  <c r="D27" i="77"/>
  <c r="H26" i="77"/>
  <c r="C17" i="77"/>
  <c r="C15" i="77"/>
  <c r="C16" i="77"/>
  <c r="I26" i="77" l="1"/>
  <c r="G26" i="77"/>
  <c r="G30" i="77" s="1"/>
  <c r="G27" i="77" l="1"/>
  <c r="G31" i="77"/>
  <c r="G29" i="77"/>
  <c r="G28" i="77"/>
  <c r="J20" i="77"/>
  <c r="I20" i="77"/>
  <c r="H20" i="77"/>
  <c r="G20" i="77"/>
  <c r="J4" i="77"/>
  <c r="H23" i="77"/>
  <c r="J23" i="77"/>
  <c r="I22" i="77"/>
  <c r="G22" i="77"/>
  <c r="I23" i="77"/>
  <c r="H22" i="77"/>
  <c r="I21" i="77"/>
  <c r="J22" i="77"/>
  <c r="G21" i="77"/>
  <c r="J21" i="77"/>
  <c r="H21" i="77"/>
  <c r="J18" i="77" l="1"/>
  <c r="H18" i="77"/>
  <c r="J17" i="77"/>
  <c r="H17" i="77"/>
  <c r="J16" i="77"/>
  <c r="H16" i="77"/>
  <c r="J14" i="77"/>
  <c r="H14" i="77"/>
  <c r="J13" i="77"/>
  <c r="H13" i="77"/>
  <c r="J10" i="77"/>
  <c r="H10" i="77"/>
  <c r="J9" i="77"/>
  <c r="H9" i="77"/>
  <c r="J6" i="77"/>
  <c r="J5" i="77"/>
  <c r="I18" i="77"/>
  <c r="G18" i="77"/>
  <c r="I17" i="77"/>
  <c r="G17" i="77"/>
  <c r="I16" i="77"/>
  <c r="G16" i="77"/>
  <c r="I14" i="77"/>
  <c r="G14" i="77"/>
  <c r="I13" i="77"/>
  <c r="G13" i="77"/>
  <c r="I10" i="77"/>
  <c r="G10" i="77"/>
  <c r="I9" i="77"/>
  <c r="G9" i="77"/>
  <c r="I6" i="77"/>
  <c r="G6" i="77"/>
  <c r="I5" i="77"/>
  <c r="G5" i="77"/>
  <c r="H6" i="77"/>
  <c r="H5" i="77"/>
  <c r="I24" i="77"/>
  <c r="J24" i="77"/>
  <c r="H24" i="77"/>
  <c r="D17" i="77"/>
  <c r="D16" i="77"/>
  <c r="D15" i="77"/>
  <c r="D14" i="77"/>
  <c r="D12" i="77"/>
  <c r="D11" i="77"/>
  <c r="D10" i="77"/>
  <c r="D9" i="77"/>
  <c r="D8" i="77"/>
  <c r="D7" i="77"/>
  <c r="D6" i="77"/>
  <c r="J20" i="57"/>
  <c r="I20" i="57"/>
  <c r="H20" i="57"/>
  <c r="J12" i="57"/>
  <c r="A1" i="57"/>
  <c r="C33" i="57"/>
  <c r="G23" i="77"/>
  <c r="D30" i="57" l="1"/>
  <c r="C30" i="57"/>
  <c r="G24" i="77"/>
  <c r="G37" i="57"/>
  <c r="G35" i="57"/>
  <c r="G36" i="57" s="1"/>
  <c r="G17" i="57"/>
  <c r="G18" i="57"/>
  <c r="G16" i="57"/>
  <c r="G38" i="57"/>
  <c r="K24" i="82" s="1"/>
  <c r="G39" i="57"/>
  <c r="K25" i="82" s="1"/>
  <c r="J18" i="57"/>
  <c r="J16" i="57"/>
  <c r="I17" i="57"/>
  <c r="H18" i="57"/>
  <c r="H16" i="57"/>
  <c r="J17" i="57"/>
  <c r="I18" i="57"/>
  <c r="I16" i="57"/>
  <c r="H17" i="57"/>
  <c r="H6" i="57"/>
  <c r="J6" i="57"/>
  <c r="E44" i="65" s="1"/>
  <c r="J9" i="57"/>
  <c r="E40" i="65" s="1"/>
  <c r="I9" i="57"/>
  <c r="H9" i="57"/>
  <c r="I14" i="57"/>
  <c r="D46" i="65" s="1"/>
  <c r="J13" i="57"/>
  <c r="H13" i="57"/>
  <c r="G13" i="57"/>
  <c r="G9" i="57"/>
  <c r="H5" i="57"/>
  <c r="I5" i="57"/>
  <c r="C39" i="65" s="1"/>
  <c r="I6" i="57"/>
  <c r="C44" i="65" s="1"/>
  <c r="J10" i="57"/>
  <c r="I10" i="57"/>
  <c r="H10" i="57"/>
  <c r="J14" i="57"/>
  <c r="F46" i="65" s="1"/>
  <c r="H14" i="57"/>
  <c r="I13" i="57"/>
  <c r="G14" i="57"/>
  <c r="G10" i="57"/>
  <c r="G6" i="57"/>
  <c r="J5" i="57"/>
  <c r="E39" i="65" s="1"/>
  <c r="G5" i="57"/>
  <c r="H1" i="57"/>
  <c r="C20" i="57"/>
  <c r="J23" i="57"/>
  <c r="N28" i="57"/>
  <c r="O29" i="57"/>
  <c r="J22" i="57"/>
  <c r="J21" i="57"/>
  <c r="N32" i="57"/>
  <c r="C12" i="57"/>
  <c r="H21" i="57"/>
  <c r="C39" i="57"/>
  <c r="D21" i="57"/>
  <c r="N30" i="57"/>
  <c r="M30" i="57"/>
  <c r="C22" i="57"/>
  <c r="M28" i="57"/>
  <c r="C10" i="57"/>
  <c r="C31" i="57"/>
  <c r="M29" i="57"/>
  <c r="D22" i="57"/>
  <c r="H22" i="57"/>
  <c r="I21" i="57"/>
  <c r="C21" i="57"/>
  <c r="C42" i="57"/>
  <c r="C13" i="57"/>
  <c r="C41" i="57"/>
  <c r="D26" i="57"/>
  <c r="C40" i="57"/>
  <c r="M27" i="57"/>
  <c r="G23" i="57"/>
  <c r="M26" i="57"/>
  <c r="C17" i="57"/>
  <c r="C5" i="57"/>
  <c r="D31" i="57"/>
  <c r="C7" i="57"/>
  <c r="N29" i="57"/>
  <c r="C26" i="57"/>
  <c r="N31" i="57"/>
  <c r="C6" i="57"/>
  <c r="D23" i="57"/>
  <c r="C32" i="57"/>
  <c r="D20" i="57"/>
  <c r="O31" i="57"/>
  <c r="O33" i="57"/>
  <c r="H23" i="57"/>
  <c r="C36" i="57"/>
  <c r="C11" i="57"/>
  <c r="O34" i="57"/>
  <c r="C18" i="57"/>
  <c r="C25" i="57"/>
  <c r="D25" i="57"/>
  <c r="C16" i="57"/>
  <c r="C15" i="57"/>
  <c r="O32" i="57"/>
  <c r="G21" i="57"/>
  <c r="O30" i="57"/>
  <c r="I23" i="57"/>
  <c r="D33" i="57"/>
  <c r="D32" i="57"/>
  <c r="O28" i="57"/>
  <c r="N34" i="57"/>
  <c r="G22" i="57"/>
  <c r="N33" i="57"/>
  <c r="O26" i="57"/>
  <c r="I22" i="57"/>
  <c r="C23" i="57"/>
  <c r="N26" i="57"/>
  <c r="C9" i="57"/>
  <c r="C38" i="57" l="1"/>
  <c r="I20" i="83" s="1"/>
  <c r="C29" i="57"/>
  <c r="L20" i="83"/>
  <c r="I32" i="57"/>
  <c r="H33" i="57"/>
  <c r="H26" i="57"/>
  <c r="N27" i="57"/>
  <c r="H32" i="57"/>
  <c r="I33" i="57"/>
  <c r="O27" i="57"/>
  <c r="C20" i="83"/>
  <c r="M32" i="57"/>
  <c r="K21" i="82"/>
  <c r="D28" i="57"/>
  <c r="D29" i="57"/>
  <c r="I30" i="57"/>
  <c r="C37" i="57"/>
  <c r="F20" i="83" s="1"/>
  <c r="H29" i="57"/>
  <c r="C28" i="57"/>
  <c r="H30" i="57"/>
  <c r="I28" i="57"/>
  <c r="M34" i="57"/>
  <c r="D7" i="57"/>
  <c r="D9" i="57"/>
  <c r="D16" i="57"/>
  <c r="D17" i="57"/>
  <c r="C45" i="65"/>
  <c r="D18" i="57"/>
  <c r="D41" i="65"/>
  <c r="D15" i="57"/>
  <c r="C40" i="65"/>
  <c r="H12" i="57"/>
  <c r="F24" i="82" s="1"/>
  <c r="G8" i="57"/>
  <c r="H4" i="57"/>
  <c r="G12" i="57"/>
  <c r="E24" i="82" s="1"/>
  <c r="H8" i="57"/>
  <c r="G4" i="57"/>
  <c r="K5" i="67"/>
  <c r="K6" i="67"/>
  <c r="K7" i="67"/>
  <c r="K8" i="67"/>
  <c r="K9" i="67"/>
  <c r="K10" i="67"/>
  <c r="K11" i="67"/>
  <c r="K12" i="67"/>
  <c r="K13" i="67"/>
  <c r="K14" i="67"/>
  <c r="M33" i="57" s="1"/>
  <c r="K15" i="67"/>
  <c r="K16" i="67"/>
  <c r="B18" i="67"/>
  <c r="C18" i="67"/>
  <c r="D18" i="67"/>
  <c r="E18" i="67"/>
  <c r="F18" i="67"/>
  <c r="G18" i="67"/>
  <c r="H18" i="67"/>
  <c r="I18" i="67"/>
  <c r="B19" i="67"/>
  <c r="C19" i="67"/>
  <c r="D19" i="67"/>
  <c r="E19" i="67"/>
  <c r="F19" i="67"/>
  <c r="G19" i="67"/>
  <c r="H19" i="67"/>
  <c r="I19" i="67"/>
  <c r="B20" i="67"/>
  <c r="C20" i="67"/>
  <c r="D20" i="67"/>
  <c r="E20" i="67"/>
  <c r="F20" i="67"/>
  <c r="G20" i="67"/>
  <c r="H20" i="67"/>
  <c r="I20" i="67"/>
  <c r="K20" i="67" s="1"/>
  <c r="B21" i="67"/>
  <c r="C21" i="67"/>
  <c r="D21" i="67"/>
  <c r="E21" i="67"/>
  <c r="F21" i="67"/>
  <c r="G21" i="67"/>
  <c r="H21" i="67"/>
  <c r="I21" i="67"/>
  <c r="B22" i="67"/>
  <c r="C22" i="67"/>
  <c r="D22" i="67"/>
  <c r="E22" i="67"/>
  <c r="F22" i="67"/>
  <c r="G22" i="67"/>
  <c r="H22" i="67"/>
  <c r="I22" i="67"/>
  <c r="B23" i="67"/>
  <c r="C23" i="67"/>
  <c r="D23" i="67"/>
  <c r="E23" i="67"/>
  <c r="F23" i="67"/>
  <c r="G23" i="67"/>
  <c r="H23" i="67"/>
  <c r="I23" i="67"/>
  <c r="B24" i="67"/>
  <c r="C24" i="67"/>
  <c r="D24" i="67"/>
  <c r="E24" i="67"/>
  <c r="F24" i="67"/>
  <c r="G24" i="67"/>
  <c r="H24" i="67"/>
  <c r="I24" i="67"/>
  <c r="B25" i="67"/>
  <c r="C25" i="67"/>
  <c r="D25" i="67"/>
  <c r="E25" i="67"/>
  <c r="F25" i="67"/>
  <c r="G25" i="67"/>
  <c r="H25" i="67"/>
  <c r="I25" i="67"/>
  <c r="B26" i="67"/>
  <c r="C26" i="67"/>
  <c r="D26" i="67"/>
  <c r="E26" i="67"/>
  <c r="F26" i="67"/>
  <c r="G26" i="67"/>
  <c r="H26" i="67"/>
  <c r="I26" i="67"/>
  <c r="B27" i="67"/>
  <c r="C27" i="67"/>
  <c r="D27" i="67"/>
  <c r="E27" i="67"/>
  <c r="F27" i="67"/>
  <c r="G27" i="67"/>
  <c r="H27" i="67"/>
  <c r="I27" i="67"/>
  <c r="B28" i="67"/>
  <c r="C28" i="67"/>
  <c r="D28" i="67"/>
  <c r="E28" i="67"/>
  <c r="F28" i="67"/>
  <c r="G28" i="67"/>
  <c r="H28" i="67"/>
  <c r="I28" i="67"/>
  <c r="B29" i="67"/>
  <c r="C29" i="67"/>
  <c r="D29" i="67"/>
  <c r="E29" i="67"/>
  <c r="F29" i="67"/>
  <c r="G29" i="67"/>
  <c r="H29" i="67"/>
  <c r="I29" i="67"/>
  <c r="K24" i="67" l="1"/>
  <c r="K22" i="67"/>
  <c r="K21" i="67"/>
  <c r="G32" i="57"/>
  <c r="K22" i="82" s="1"/>
  <c r="K28" i="67"/>
  <c r="K27" i="67"/>
  <c r="K25" i="67"/>
  <c r="K18" i="67"/>
  <c r="K29" i="67"/>
  <c r="K26" i="67"/>
  <c r="K23" i="67"/>
  <c r="K19" i="67"/>
  <c r="I31" i="57"/>
  <c r="H27" i="57"/>
  <c r="H31" i="57"/>
  <c r="I29" i="57"/>
  <c r="I27" i="57"/>
  <c r="H28" i="57"/>
  <c r="G33" i="57"/>
  <c r="K23" i="82" s="1"/>
  <c r="E22" i="82"/>
  <c r="E23" i="82"/>
  <c r="F23" i="82"/>
  <c r="F22" i="82"/>
  <c r="I24" i="57"/>
  <c r="H24" i="57"/>
  <c r="G24" i="57"/>
  <c r="J24" i="57"/>
  <c r="H12" i="77"/>
  <c r="F24" i="48" s="1"/>
  <c r="G12" i="77"/>
  <c r="E24" i="48" s="1"/>
  <c r="H8" i="77"/>
  <c r="F23" i="48" s="1"/>
  <c r="G8" i="77"/>
  <c r="E23" i="48" s="1"/>
  <c r="H4" i="77"/>
  <c r="F22" i="48" s="1"/>
  <c r="G4" i="77"/>
  <c r="E22" i="48" s="1"/>
  <c r="I12" i="57"/>
  <c r="D36" i="65" s="1"/>
  <c r="I8" i="57"/>
  <c r="C35" i="65" s="1"/>
  <c r="I4" i="57"/>
  <c r="C34" i="65" s="1"/>
  <c r="K20" i="82"/>
  <c r="I4" i="77" l="1"/>
  <c r="I8" i="77"/>
  <c r="I12" i="77"/>
  <c r="I26" i="57"/>
  <c r="G26" i="57"/>
  <c r="D6" i="57"/>
  <c r="E45" i="65" s="1"/>
  <c r="D11" i="57"/>
  <c r="D12" i="57"/>
  <c r="D13" i="57"/>
  <c r="D10" i="57"/>
  <c r="F41" i="65" s="1"/>
  <c r="G31" i="57" l="1"/>
  <c r="G29" i="57"/>
  <c r="G27" i="57"/>
  <c r="G30" i="57"/>
  <c r="G28" i="57"/>
</calcChain>
</file>

<file path=xl/comments1.xml><?xml version="1.0" encoding="utf-8"?>
<comments xmlns="http://schemas.openxmlformats.org/spreadsheetml/2006/main">
  <authors>
    <author>swheeler</author>
  </authors>
  <commentList>
    <comment ref="B1" authorId="0">
      <text>
        <r>
          <rPr>
            <sz val="10"/>
            <color indexed="81"/>
            <rFont val="Calibri"/>
            <family val="2"/>
            <scheme val="minor"/>
          </rPr>
          <t xml:space="preserve">
</t>
        </r>
        <r>
          <rPr>
            <b/>
            <sz val="14"/>
            <color indexed="81"/>
            <rFont val="Calibri"/>
            <family val="2"/>
            <scheme val="minor"/>
          </rPr>
          <t>Use this drop down box to change areas.</t>
        </r>
      </text>
    </comment>
    <comment ref="G31" authorId="0">
      <text>
        <r>
          <rPr>
            <b/>
            <sz val="10"/>
            <color indexed="81"/>
            <rFont val="Tahoma"/>
            <family val="2"/>
          </rPr>
          <t>Disability information is unavailable at this time.</t>
        </r>
        <r>
          <rPr>
            <sz val="10"/>
            <color indexed="81"/>
            <rFont val="Tahoma"/>
            <family val="2"/>
          </rPr>
          <t xml:space="preserve">
</t>
        </r>
      </text>
    </comment>
  </commentList>
</comments>
</file>

<file path=xl/comments2.xml><?xml version="1.0" encoding="utf-8"?>
<comments xmlns="http://schemas.openxmlformats.org/spreadsheetml/2006/main">
  <authors>
    <author>swheeler</author>
  </authors>
  <commentList>
    <comment ref="N25" authorId="0">
      <text>
        <r>
          <rPr>
            <b/>
            <sz val="8"/>
            <color indexed="81"/>
            <rFont val="Tahoma"/>
            <family val="2"/>
          </rPr>
          <t>swheeler:</t>
        </r>
        <r>
          <rPr>
            <sz val="8"/>
            <color indexed="81"/>
            <rFont val="Tahoma"/>
            <family val="2"/>
          </rPr>
          <t xml:space="preserve">
previous py</t>
        </r>
      </text>
    </comment>
  </commentList>
</comments>
</file>

<file path=xl/comments3.xml><?xml version="1.0" encoding="utf-8"?>
<comments xmlns="http://schemas.openxmlformats.org/spreadsheetml/2006/main">
  <authors>
    <author>swheeler</author>
  </authors>
  <commentList>
    <comment ref="M24" authorId="0">
      <text>
        <r>
          <rPr>
            <b/>
            <sz val="8"/>
            <color indexed="81"/>
            <rFont val="Tahoma"/>
            <family val="2"/>
          </rPr>
          <t>swheeler:</t>
        </r>
        <r>
          <rPr>
            <sz val="8"/>
            <color indexed="81"/>
            <rFont val="Tahoma"/>
            <family val="2"/>
          </rPr>
          <t xml:space="preserve">
previous py</t>
        </r>
      </text>
    </comment>
  </commentList>
</comments>
</file>

<file path=xl/connections.xml><?xml version="1.0" encoding="utf-8"?>
<connections xmlns="http://schemas.openxmlformats.org/spreadsheetml/2006/main">
  <connection id="1" sourceFile="\\esd1floly02\users\SWheeler\Shared Folder\Databases\DASHBOARD.accdb" keepAlive="1" name="DASHBOARD" type="5" refreshedVersion="3">
    <dbPr connection="Provider=Microsoft.ACE.OLEDB.12.0;User ID=Admin;Data Source=\\esd1floly02\users\SWheeler\Shared Folder\Databases\DASHBOARD.accdb;Mode=ReadWrite;Extended Properties=&quot;&quot;;Jet OLEDB:System database=&quot;&quot;;Jet OLEDB:Registry Path=&quot;&quot;;Jet OLEDB:Engine Type=6;Jet OLEDB:Database Locking Mode=1;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CountOfStaffAssistedCustomers" commandType="3"/>
  </connection>
  <connection id="2" sourceFile="\\esd1floly02\users\SWheeler\Shared Folder\Databases\DASHBOARD.accdb" keepAlive="1" name="DASHBOARD1" type="5" refreshedVersion="3">
    <dbPr connection="Provider=Microsoft.ACE.OLEDB.12.0;User ID=Admin;Data Source=\\esd1floly02\users\SWheeler\Shared Folder\Databases\DASHBOARD.accdb;Mode=ReadWrite;Extended Properties=&quot;&quot;;Jet OLEDB:System database=&quot;&quot;;Jet OLEDB:Registry Path=&quot;&quot;;Jet OLEDB:Engine Type=6;Jet OLEDB:Database Locking Mode=1;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CustomerFlowTable" commandType="3"/>
  </connection>
  <connection id="3" sourceFile="\\esd1floly02\users\SWheeler\Shared Folder\Databases\DASHBOARD.accdb" keepAlive="1" name="DASHBOARD10" type="5" refreshedVersion="3">
    <dbPr connection="Provider=Microsoft.ACE.OLEDB.12.0;User ID=Admin;Data Source=\\esd1floly02\users\SWheeler\Shared Folder\Databases\DASHBOARD.accdb;Mode=ReadWrite;Extended Properties=&quot;&quot;;Jet OLEDB:System database=&quot;&quot;;Jet OLEDB:Registry Path=&quot;&quot;;Jet OLEDB:Engine Type=6;Jet OLEDB:Database Locking Mode=1;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Placement wages table" commandType="3"/>
  </connection>
  <connection id="4" sourceFile="\\esd1floly02\users\SWheeler\Shared Folder\Databases\DASHBOARD.accdb" keepAlive="1" name="DASHBOARD11" type="5" refreshedVersion="3">
    <dbPr connection="Provider=Microsoft.ACE.OLEDB.12.0;User ID=Admin;Data Source=\\esd1floly02\users\SWheeler\Shared Folder\Databases\DASHBOARD.accdb;Mode=ReadWrite;Extended Properties=&quot;&quot;;Jet OLEDB:System database=&quot;&quot;;Jet OLEDB:Registry Path=&quot;&quot;;Jet OLEDB:Engine Type=6;Jet OLEDB:Database Locking Mode=1;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PlacementCountTable" commandType="3"/>
  </connection>
  <connection id="5" sourceFile="\\esd1floly02\users\SWheeler\Shared Folder\Databases\DASHBOARD.accdb" keepAlive="1" name="DASHBOARD12" type="5" refreshedVersion="3">
    <dbPr connection="Provider=Microsoft.ACE.OLEDB.12.0;User ID=Admin;Data Source=\\esd1floly02\users\SWheeler\Shared Folder\Databases\DASHBOARD.accdb;Mode=ReadWrite;Extended Properties=&quot;&quot;;Jet OLEDB:System database=&quot;&quot;;Jet OLEDB:Registry Path=&quot;&quot;;Jet OLEDB:Engine Type=6;Jet OLEDB:Database Locking Mode=1;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Placement wages table" commandType="3"/>
  </connection>
  <connection id="6" sourceFile="\\esd1floly02\users\SWheeler\Shared Folder\Databases\DASHBOARD.accdb" keepAlive="1" name="DASHBOARD13" type="5" refreshedVersion="3">
    <dbPr connection="Provider=Microsoft.ACE.OLEDB.12.0;User ID=Admin;Data Source=\\esd1floly02\users\SWheeler\Shared Folder\Databases\DASHBOARD.accdb;Mode=ReadWrite;Extended Properties=&quot;&quot;;Jet OLEDB:System database=&quot;&quot;;Jet OLEDB:Registry Path=&quot;&quot;;Jet OLEDB:Engine Type=6;Jet OLEDB:Database Locking Mode=1;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Placement wages table" commandType="3"/>
  </connection>
  <connection id="7" sourceFile="\\esd1floly02\users\SWheeler\Shared Folder\Databases\DASHBOARD.accdb" keepAlive="1" name="DASHBOARD14" type="5" refreshedVersion="3">
    <dbPr connection="Provider=Microsoft.ACE.OLEDB.12.0;User ID=Admin;Data Source=\\esd1floly02\users\SWheeler\Shared Folder\Databases\DASHBOARD.accdb;Mode=ReadWrite;Extended Properties=&quot;&quot;;Jet OLEDB:System database=&quot;&quot;;Jet OLEDB:Registry Path=&quot;&quot;;Jet OLEDB:Engine Type=6;Jet OLEDB:Database Locking Mode=1;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BottomBarTAble" commandType="3"/>
  </connection>
  <connection id="8" sourceFile="\\esd1floly02\users\SWheeler\Shared Folder\Databases\DASHBOARD.accdb" keepAlive="1" name="DASHBOARD15" type="5" refreshedVersion="3">
    <dbPr connection="Provider=Microsoft.ACE.OLEDB.12.0;User ID=Admin;Data Source=\\esd1floly02\users\SWheeler\Shared Folder\Databases\DASHBOARD.accdb;Mode=ReadWrite;Extended Properties=&quot;&quot;;Jet OLEDB:System database=&quot;&quot;;Jet OLEDB:Registry Path=&quot;&quot;;Jet OLEDB:Engine Type=6;Jet OLEDB:Database Locking Mode=1;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6FinalDonetTable" commandType="3"/>
  </connection>
  <connection id="9" sourceFile="\\esd1floly02\users\SWheeler\Shared Folder\Databases\DASHBOARD.accdb" keepAlive="1" name="DASHBOARD16" type="5" refreshedVersion="3">
    <dbPr connection="Provider=Microsoft.ACE.OLEDB.12.0;User ID=Admin;Data Source=\\esd1floly02\users\SWheeler\Shared Folder\Databases\DASHBOARD.accdb;Mode=ReadWrite;Extended Properties=&quot;&quot;;Jet OLEDB:System database=&quot;&quot;;Jet OLEDB:Registry Path=&quot;&quot;;Jet OLEDB:Engine Type=6;Jet OLEDB:Database Locking Mode=1;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6PlacementCountTable" commandType="3"/>
  </connection>
  <connection id="10" sourceFile="\\esd1floly02\users\SWheeler\Shared Folder\Databases\DASHBOARD.accdb" keepAlive="1" name="DASHBOARD17" type="5" refreshedVersion="3">
    <dbPr connection="Provider=Microsoft.ACE.OLEDB.12.0;User ID=Admin;Data Source=\\esd1floly02\users\SWheeler\Shared Folder\Databases\DASHBOARD.accdb;Mode=ReadWrite;Extended Properties=&quot;&quot;;Jet OLEDB:System database=&quot;&quot;;Jet OLEDB:Registry Path=&quot;&quot;;Jet OLEDB:Engine Type=6;Jet OLEDB:Database Locking Mode=1;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6Placement wages table" commandType="3"/>
  </connection>
  <connection id="11" sourceFile="\\esd1floly02\users\SWheeler\Shared Folder\Databases\DASHBOARD.accdb" keepAlive="1" name="DASHBOARD18" type="5" refreshedVersion="3">
    <dbPr connection="Provider=Microsoft.ACE.OLEDB.12.0;User ID=Admin;Data Source=\\esd1floly02\users\SWheeler\Shared Folder\Databases\DASHBOARD.accdb;Mode=ReadWrite;Extended Properties=&quot;&quot;;Jet OLEDB:System database=&quot;&quot;;Jet OLEDB:Registry Path=&quot;&quot;;Jet OLEDB:Engine Type=6;Jet OLEDB:Database Locking Mode=1;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EOFinalTable" commandType="3"/>
  </connection>
  <connection id="12" sourceFile="\\esd1floly02\users\SWheeler\Shared Folder\Databases\DASHBOARD.accdb" keepAlive="1" name="DASHBOARD19" type="5" refreshedVersion="3">
    <dbPr connection="Provider=Microsoft.ACE.OLEDB.12.0;User ID=Admin;Data Source=\\esd1floly02\users\SWheeler\Shared Folder\Databases\DASHBOARD.accdb;Mode=ReadWrite;Extended Properties=&quot;&quot;;Jet OLEDB:System database=&quot;&quot;;Jet OLEDB:Registry Path=&quot;&quot;;Jet OLEDB:Engine Type=6;Jet OLEDB:Database Locking Mode=1;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EOWIAFINALTABLE" commandType="3"/>
  </connection>
  <connection id="13" sourceFile="\\esd1floly02\users\SWheeler\Shared Folder\Databases\State DASHBOARD.accdb" keepAlive="1" name="DASHBOARD2" type="5" refreshedVersion="3" background="1" saveData="1">
    <dbPr connection="Provider=Microsoft.ACE.OLEDB.12.0;User ID=Admin;Data Source=\\esd1floly02\users\SWheeler\Shared Folder\Databases\State DASHBOARD.accdb;Mode=ReadWrite;Extended Properties=&quot;&quot;;Jet OLEDB:System database=&quot;&quot;;Jet OLEDB:Registry Path=&quot;&quot;;Jet OLEDB:Engine Type=6;Jet OLEDB:Database Locking Mode=1;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MgtIndTable" commandType="3"/>
  </connection>
  <connection id="14" sourceFile="\\esd1floly02\users\SWheeler\Shared Folder\Databases\DASHBOARD.accdb" keepAlive="1" name="DASHBOARD20" type="5" refreshedVersion="3">
    <dbPr connection="Provider=Microsoft.ACE.OLEDB.12.0;User ID=Admin;Data Source=\\esd1floly02\users\SWheeler\Shared Folder\Databases\DASHBOARD.accdb;Mode=ReadWrite;Extended Properties=&quot;&quot;;Jet OLEDB:System database=&quot;&quot;;Jet OLEDB:Registry Path=&quot;&quot;;Jet OLEDB:Engine Type=6;Jet OLEDB:Database Locking Mode=1;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EOEducationTable" commandType="3"/>
  </connection>
  <connection id="15" sourceFile="\\esd1floly02\users\SWheeler\Shared Folder\Databases\DASHBOARD.accdb" keepAlive="1" name="DASHBOARD21" type="5" refreshedVersion="3" saveData="1">
    <dbPr connection="Provider=Microsoft.ACE.OLEDB.12.0;User ID=Admin;Data Source=\\esd1floly02\users\SWheeler\Shared Folder\Databases\DASHBOARD.accdb;Mode=Read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4FinalJobOrderstable" commandType="3"/>
  </connection>
  <connection id="16" sourceFile="\\esd1floly02\users\SWheeler\Shared Folder\Databases\DASHBOARD.accdb" keepAlive="1" name="DASHBOARD3" type="5" refreshedVersion="3">
    <dbPr connection="Provider=Microsoft.ACE.OLEDB.12.0;User ID=Admin;Data Source=\\esd1floly02\users\SWheeler\Shared Folder\Databases\DASHBOARD.accdb;Mode=ReadWrite;Extended Properties=&quot;&quot;;Jet OLEDB:System database=&quot;&quot;;Jet OLEDB:Registry Path=&quot;&quot;;Jet OLEDB:Engine Type=6;Jet OLEDB:Database Locking Mode=1;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ProgramChartTable" commandType="3"/>
  </connection>
  <connection id="17" sourceFile="\\esd1floly02\users\SWheeler\Shared Folder\Databases\DASHBOARD.accdb" keepAlive="1" name="DASHBOARD4" type="5" refreshedVersion="3">
    <dbPr connection="Provider=Microsoft.ACE.OLEDB.12.0;User ID=Admin;Data Source=\\esd1floly02\users\SWheeler\Shared Folder\Databases\DASHBOARD.accdb;Mode=ReadWrite;Extended Properties=&quot;&quot;;Jet OLEDB:System database=&quot;&quot;;Jet OLEDB:Registry Path=&quot;&quot;;Jet OLEDB:Engine Type=6;Jet OLEDB:Database Locking Mode=1;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EmployerServicesTable" commandType="3"/>
  </connection>
  <connection id="18" sourceFile="\\esd1floly02\users\SWheeler\Shared Folder\Databases\DASHBOARD.accdb" keepAlive="1" name="DASHBOARD5" type="5" refreshedVersion="3">
    <dbPr connection="Provider=Microsoft.ACE.OLEDB.12.0;User ID=Admin;Data Source=\\esd1floly02\users\SWheeler\Shared Folder\Databases\DASHBOARD.accdb;Mode=ReadWrite;Extended Properties=&quot;&quot;;Jet OLEDB:System database=&quot;&quot;;Jet OLEDB:Registry Path=&quot;&quot;;Jet OLEDB:Engine Type=6;Jet OLEDB:Database Locking Mode=1;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CustomerFlowTable" commandType="3"/>
  </connection>
  <connection id="19" sourceFile="\\esd1floly02\users\SWheeler\Shared Folder\Databases\DASHBOARD.accdb" keepAlive="1" name="DASHBOARD6" type="5" refreshedVersion="3">
    <dbPr connection="Provider=Microsoft.ACE.OLEDB.12.0;User ID=Admin;Data Source=\\esd1floly02\users\SWheeler\Shared Folder\Databases\DASHBOARD.accdb;Mode=ReadWrite;Extended Properties=&quot;&quot;;Jet OLEDB:System database=&quot;&quot;;Jet OLEDB:Registry Path=&quot;&quot;;Jet OLEDB:Engine Type=6;Jet OLEDB:Database Locking Mode=1;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MgtIndTable" commandType="3"/>
  </connection>
  <connection id="20" sourceFile="\\esd1floly02\users\SWheeler\Shared Folder\Databases\DASHBOARD.accdb" keepAlive="1" name="DASHBOARD7" type="5" refreshedVersion="3">
    <dbPr connection="Provider=Microsoft.ACE.OLEDB.12.0;User ID=Admin;Data Source=\\esd1floly02\users\SWheeler\Shared Folder\Databases\DASHBOARD.accdb;Mode=ReadWrite;Extended Properties=&quot;&quot;;Jet OLEDB:System database=&quot;&quot;;Jet OLEDB:Registry Path=&quot;&quot;;Jet OLEDB:Engine Type=6;Jet OLEDB:Database Locking Mode=1;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ProgramChartTable" commandType="3"/>
  </connection>
  <connection id="21" sourceFile="\\esd1floly02\users\SWheeler\Shared Folder\Databases\DASHBOARD.accdb" keepAlive="1" name="DASHBOARD8" type="5" refreshedVersion="3">
    <dbPr connection="Provider=Microsoft.ACE.OLEDB.12.0;User ID=Admin;Data Source=\\esd1floly02\users\SWheeler\Shared Folder\Databases\DASHBOARD.accdb;Mode=ReadWrite;Extended Properties=&quot;&quot;;Jet OLEDB:System database=&quot;&quot;;Jet OLEDB:Registry Path=&quot;&quot;;Jet OLEDB:Engine Type=6;Jet OLEDB:Database Locking Mode=1;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EmployerServicesTable" commandType="3"/>
  </connection>
  <connection id="22" sourceFile="\\esd1floly02\users\SWheeler\Shared Folder\Databases\DASHBOARD.accdb" keepAlive="1" name="DASHBOARD9" type="5" refreshedVersion="3">
    <dbPr connection="Provider=Microsoft.ACE.OLEDB.12.0;User ID=Admin;Data Source=\\esd1floly02\users\SWheeler\Shared Folder\Databases\DASHBOARD.accdb;Mode=ReadWrite;Extended Properties=&quot;&quot;;Jet OLEDB:System database=&quot;&quot;;Jet OLEDB:Registry Path=&quot;&quot;;Jet OLEDB:Engine Type=6;Jet OLEDB:Database Locking Mode=1;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4FinalDonetTable" commandType="3"/>
  </connection>
  <connection id="23" sourceFile="\\esd1floly02\users\SWheeler\Shared Folder\Databases\State DASHBOARD.accdb" keepAlive="1" name="State DASHBOARD" type="5" refreshedVersion="3">
    <dbPr connection="Provider=Microsoft.ACE.OLEDB.12.0;User ID=Admin;Data Source=\\esd1floly02\users\SWheeler\Shared Folder\Databases\State DASHBOARD.accdb;Mode=ReadWrite;Extended Properties=&quot;&quot;;Jet OLEDB:System database=&quot;&quot;;Jet OLEDB:Registry Path=&quot;&quot;;Jet OLEDB:Engine Type=6;Jet OLEDB:Database Locking Mode=1;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CustomerFlowTotals" commandType="3"/>
  </connection>
  <connection id="24" sourceFile="\\esd1floly02\users\SWheeler\Shared Folder\Databases\State DASHBOARD.accdb" odcFile="\\esd1floly02\users\swheeler\My Documents\My Data Sources\State DASHBOARD MgtIndState.odc" keepAlive="1" name="State DASHBOARD MgtIndState" type="5" refreshedVersion="3">
    <dbPr connection="Provider=Microsoft.ACE.OLEDB.12.0;User ID=Admin;Data Source=\\esd1floly02\users\SWheeler\Shared Folder\Databases\State DASHBOARD.accdb;Mode=ReadWrite;Extended Properties=&quot;&quot;;Jet OLEDB:System database=&quot;&quot;;Jet OLEDB:Registry Path=&quot;&quot;;Jet OLEDB:Engine Type=6;Jet OLEDB:Database Locking Mode=1;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MgtIndState" commandType="3"/>
  </connection>
  <connection id="25" sourceFile="\\esd1floly02\users\SWheeler\Shared Folder\Databases\State DASHBOARD.accdb" keepAlive="1" name="State DASHBOARD1" type="5" refreshedVersion="3">
    <dbPr connection="Provider=Microsoft.ACE.OLEDB.12.0;User ID=Admin;Data Source=\\esd1floly02\users\SWheeler\Shared Folder\Databases\State DASHBOARD.accdb;Mode=ReadWrite;Extended Properties=&quot;&quot;;Jet OLEDB:System database=&quot;&quot;;Jet OLEDB:Registry Path=&quot;&quot;;Jet OLEDB:Engine Type=6;Jet OLEDB:Database Locking Mode=1;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ProgramChartTable" commandType="3"/>
  </connection>
  <connection id="26" sourceFile="\\esd1floly02\users\SWheeler\Shared Folder\Databases\State DASHBOARD.accdb" keepAlive="1" name="State DASHBOARD2" type="5" refreshedVersion="3">
    <dbPr connection="Provider=Microsoft.ACE.OLEDB.12.0;User ID=Admin;Data Source=\\esd1floly02\users\SWheeler\Shared Folder\Databases\State DASHBOARD.accdb;Mode=Read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EmployerServicesTable" commandType="3"/>
  </connection>
  <connection id="27" sourceFile="\\esd1floly02\users\SWheeler\Shared Folder\Databases\State DASHBOARD.accdb" keepAlive="1" name="State DASHBOARD3" type="5" refreshedVersion="3">
    <dbPr connection="Provider=Microsoft.ACE.OLEDB.12.0;User ID=Admin;Data Source=\\esd1floly02\users\SWheeler\Shared Folder\Databases\State DASHBOARD.accdb;Mode=Read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JobOrdersTable" commandType="3"/>
  </connection>
  <connection id="28" sourceFile="\\esd1floly02\users\SWheeler\Shared Folder\Databases\State DASHBOARD.accdb" keepAlive="1" name="State DASHBOARD4" type="5" refreshedVersion="3">
    <dbPr connection="Provider=Microsoft.ACE.OLEDB.12.0;User ID=Admin;Data Source=\\esd1floly02\users\SWheeler\Shared Folder\Databases\State DASHBOARD.accdb;Mode=ReadWrite;Extended Properties=&quot;&quot;;Jet OLEDB:System database=&quot;&quot;;Jet OLEDB:Registry Path=&quot;&quot;;Jet OLEDB:Engine Type=6;Jet OLEDB:Database Locking Mode=1;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IndicatorsBottomBarTable" commandType="3"/>
  </connection>
  <connection id="29" sourceFile="\\esd1floly02\users\SWheeler\Shared Folder\Databases\State DASHBOARD.accdb" keepAlive="1" name="State DASHBOARD5" type="5" refreshedVersion="3">
    <dbPr connection="Provider=Microsoft.ACE.OLEDB.12.0;User ID=Admin;Data Source=\\esd1floly02\users\SWheeler\Shared Folder\Databases\State DASHBOARD.accdb;Mode=ReadWrite;Extended Properties=&quot;&quot;;Jet OLEDB:System database=&quot;&quot;;Jet OLEDB:Registry Path=&quot;&quot;;Jet OLEDB:Engine Type=6;Jet OLEDB:Database Locking Mode=1;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EOFINAL Table" commandType="3"/>
  </connection>
  <connection id="30" sourceFile="\\esd1floly02\users\SWheeler\Shared Folder\Databases\State DASHBOARD.accdb" keepAlive="1" name="State DASHBOARD6" type="5" refreshedVersion="3">
    <dbPr connection="Provider=Microsoft.ACE.OLEDB.12.0;User ID=Admin;Data Source=\\esd1floly02\users\SWheeler\Shared Folder\Databases\State DASHBOARD.accdb;Mode=Read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 command="6LastYearJobOrderChart table" commandType="3"/>
  </connection>
</connections>
</file>

<file path=xl/sharedStrings.xml><?xml version="1.0" encoding="utf-8"?>
<sst xmlns="http://schemas.openxmlformats.org/spreadsheetml/2006/main" count="1271" uniqueCount="549">
  <si>
    <t>Area</t>
  </si>
  <si>
    <t>Entered Employment</t>
  </si>
  <si>
    <t>Retention Rate</t>
  </si>
  <si>
    <t>Average Earnings</t>
  </si>
  <si>
    <t>WIA Youth</t>
  </si>
  <si>
    <t>Certificate Rate</t>
  </si>
  <si>
    <t>Literacy/Numeracy Rate</t>
  </si>
  <si>
    <t>Placement Rate</t>
  </si>
  <si>
    <t>All Customers</t>
  </si>
  <si>
    <t>WA Job Openings</t>
  </si>
  <si>
    <t>Total</t>
  </si>
  <si>
    <t>Adult</t>
  </si>
  <si>
    <t>Skill Development</t>
  </si>
  <si>
    <t>Male</t>
  </si>
  <si>
    <t>Female</t>
  </si>
  <si>
    <t>WIA Participants</t>
  </si>
  <si>
    <t>WIA Enrolled</t>
  </si>
  <si>
    <t>Served by Staff</t>
  </si>
  <si>
    <t>Program Participants</t>
  </si>
  <si>
    <t>New WIA Participants</t>
  </si>
  <si>
    <t>WIA Exiters</t>
  </si>
  <si>
    <t>Over 55</t>
  </si>
  <si>
    <t>Employers Served</t>
  </si>
  <si>
    <t># of Average Visits/Customer:</t>
  </si>
  <si>
    <t>College Degree</t>
  </si>
  <si>
    <t>Population</t>
  </si>
  <si>
    <t>With Disability</t>
  </si>
  <si>
    <t>Wage Replacement:</t>
  </si>
  <si>
    <t>Drop Out Rate</t>
  </si>
  <si>
    <t>Employed</t>
  </si>
  <si>
    <t>Wagner-Peyser</t>
  </si>
  <si>
    <t>Dislocated Worker</t>
  </si>
  <si>
    <t>Retained</t>
  </si>
  <si>
    <t>Total Exiters</t>
  </si>
  <si>
    <t>Total Wages</t>
  </si>
  <si>
    <t>Positive Outcomes</t>
  </si>
  <si>
    <t>Average Duration of Exiters:</t>
  </si>
  <si>
    <t>Trainees Completing</t>
  </si>
  <si>
    <t>Job openings in top 5 occupations</t>
  </si>
  <si>
    <t>Positve Outcomes</t>
  </si>
  <si>
    <t>Labor Market Conditions</t>
  </si>
  <si>
    <t>Unemployment Rate</t>
  </si>
  <si>
    <t>Customer Demographic Comparison</t>
  </si>
  <si>
    <t>New Customers (staff assisted seekers-SAS)</t>
  </si>
  <si>
    <t>Total Visits (staff assisted customers</t>
  </si>
  <si>
    <t>Average Visits</t>
  </si>
  <si>
    <t>Wage Replacement</t>
  </si>
  <si>
    <t>Area's 6 Month Average Wage</t>
  </si>
  <si>
    <t>Number with HS degree (of population)</t>
  </si>
  <si>
    <t>Number with College degree (of populaton)</t>
  </si>
  <si>
    <t>Core/Intensive Only</t>
  </si>
  <si>
    <t>Training</t>
  </si>
  <si>
    <t>Self-Service Only</t>
  </si>
  <si>
    <t>Core Only</t>
  </si>
  <si>
    <t xml:space="preserve">Assessment </t>
  </si>
  <si>
    <t>Referral to Community Services</t>
  </si>
  <si>
    <t>Actual %</t>
  </si>
  <si>
    <t>Placements</t>
  </si>
  <si>
    <t>% of Job Openings in Top 5 Occupations</t>
  </si>
  <si>
    <t>% of Population</t>
  </si>
  <si>
    <t>% Of Staff Assisted</t>
  </si>
  <si>
    <t>% of WIA Enrolled</t>
  </si>
  <si>
    <t xml:space="preserve"> Pre-Program Wages (Last Job Wages)</t>
  </si>
  <si>
    <t>Post-Program Wages (Placement Wages)</t>
  </si>
  <si>
    <t>Unduplicated count of all seekers logging into SSMS and/or Go2WorkSource during the quarter</t>
  </si>
  <si>
    <t>Unduplicated count of the seekers who received a core service and did not receive an intensive or training service during the quarter</t>
  </si>
  <si>
    <t>Unduplicated count of all seekers with at least one day of enrollment during the quarter in a WIA program (Youth, Adult, DW)</t>
  </si>
  <si>
    <t>Unduplicated count of all seekers who began enrollment during the quarter in a WIA program (Youth, Adult, DW)</t>
  </si>
  <si>
    <t>Count of all job openings associated with any WA job order opened during the quarter</t>
  </si>
  <si>
    <t>Unduplicated count of all employers served with any service (including job referrals, postings and outreach) during the quarter</t>
  </si>
  <si>
    <t>Total Visits (staff assisted customers)</t>
  </si>
  <si>
    <t>Dividing the number of visits by the number of staff assisted seekers</t>
  </si>
  <si>
    <t>The division of the average Placement wage by the Last Job wage</t>
  </si>
  <si>
    <t>Common Measures Results</t>
  </si>
  <si>
    <t>Common Measures Targets</t>
  </si>
  <si>
    <t>Of the seekers who were enrolled in a WIA program during the Entered Employment Exit period(4 quarters), their demographics based upon their SKIES information</t>
  </si>
  <si>
    <t>Of the program exiters during the quarter, what was their total average duration (excluding the WorkFirst Job Search program)</t>
  </si>
  <si>
    <t>Measures Side</t>
  </si>
  <si>
    <t>Indicators Side</t>
  </si>
  <si>
    <t>These common measures are the four quarter cumulative results.</t>
  </si>
  <si>
    <t>Staff-Assisted Customers</t>
  </si>
  <si>
    <t>Box Flow Chart</t>
  </si>
  <si>
    <t>Program Participants Column Chart</t>
  </si>
  <si>
    <t>Employer Services Column Chart</t>
  </si>
  <si>
    <t>Job Orders Bar Chart</t>
  </si>
  <si>
    <t>Bottom Bar (Footer)</t>
  </si>
  <si>
    <t>New Staff Assisted Customers:</t>
  </si>
  <si>
    <t>Of the Staff-Assisted Customer Group, how many did not have a state (non-local) staff-assisted service the previous quarter.</t>
  </si>
  <si>
    <t>Targets are negotiated between the WTECB and the Department of Labor on an annual to semi-annual schedule (by May and/or December of each year)</t>
  </si>
  <si>
    <t>% of Population (click for Source)</t>
  </si>
  <si>
    <t>Area's 6 Month Average Wage (click for source)</t>
  </si>
  <si>
    <t>Drop Out Rate (click for source)</t>
  </si>
  <si>
    <t>Of the total population over the age of 25, % with a College Degree (or equivalent) or more</t>
  </si>
  <si>
    <t>Of the total population over the age of 25, % with a High School Diploma (or equivalent) or more</t>
  </si>
  <si>
    <t xml:space="preserve">This information is pulled from the latest American Community Survey conducted by the Census (2009)-all calculations are based upon the total population. </t>
  </si>
  <si>
    <t>Unduplicated count of all seekers receiving a state (non-local) staff assisted service, logging into SSMS and/or logging into Go2WorkSource during the quarter</t>
  </si>
  <si>
    <t>Unduplicated count of the seekers who received a core and intensive service but not training,during the quarter</t>
  </si>
  <si>
    <t>Customer Flow Boxes</t>
  </si>
  <si>
    <t>Management Indicators</t>
  </si>
  <si>
    <t>Employer Services</t>
  </si>
  <si>
    <t>Job Orders</t>
  </si>
  <si>
    <t>Bottom Bar Data</t>
  </si>
  <si>
    <t>Staff Assisted Customers</t>
  </si>
  <si>
    <t>New In Training</t>
  </si>
  <si>
    <t>Ongoing Training</t>
  </si>
  <si>
    <t>Currrent Q</t>
  </si>
  <si>
    <t>Last Year</t>
  </si>
  <si>
    <t>Olympic</t>
  </si>
  <si>
    <t>Q4</t>
  </si>
  <si>
    <t>APR-JUN 2011</t>
  </si>
  <si>
    <t>% of Population +25 w/ College Degree</t>
  </si>
  <si>
    <t>Area Profile</t>
  </si>
  <si>
    <t>H.S. Drop Out Rate</t>
  </si>
  <si>
    <t>Highest Growth Industry</t>
  </si>
  <si>
    <t>Target</t>
  </si>
  <si>
    <t>Workforce Development Area</t>
  </si>
  <si>
    <t>Entered Employment Base</t>
  </si>
  <si>
    <t>Entered Employment Rate</t>
  </si>
  <si>
    <t>Employment Retention</t>
  </si>
  <si>
    <t>Employment Retention Base</t>
  </si>
  <si>
    <t>Employment Retention Rate</t>
  </si>
  <si>
    <t>Total Earnings</t>
  </si>
  <si>
    <t>Average Earnings Base</t>
  </si>
  <si>
    <t>Benton/Franklin</t>
  </si>
  <si>
    <t>Eastern Washington</t>
  </si>
  <si>
    <t>North Central</t>
  </si>
  <si>
    <t>Northwest</t>
  </si>
  <si>
    <t>Pacific Mountain</t>
  </si>
  <si>
    <t>Seattle - King County</t>
  </si>
  <si>
    <t>Snohomish</t>
  </si>
  <si>
    <t>South Central</t>
  </si>
  <si>
    <t>Southwest Washington</t>
  </si>
  <si>
    <t>Spokane</t>
  </si>
  <si>
    <t>Tacoma - Pierce</t>
  </si>
  <si>
    <t>Statewide</t>
  </si>
  <si>
    <t>Area Labor Force</t>
  </si>
  <si>
    <t>Avg. Months Duration of Exiters:</t>
  </si>
  <si>
    <t>XII</t>
  </si>
  <si>
    <t>XI</t>
  </si>
  <si>
    <t>X</t>
  </si>
  <si>
    <t>IX</t>
  </si>
  <si>
    <t>VIII</t>
  </si>
  <si>
    <t>VII</t>
  </si>
  <si>
    <t>VI</t>
  </si>
  <si>
    <t>V</t>
  </si>
  <si>
    <t>IV</t>
  </si>
  <si>
    <t>III</t>
  </si>
  <si>
    <t>II</t>
  </si>
  <si>
    <t>I</t>
  </si>
  <si>
    <t>Bachelor's or More</t>
  </si>
  <si>
    <t>Advanced Degree</t>
  </si>
  <si>
    <t>Bachelor's Degree</t>
  </si>
  <si>
    <t>AA Degree</t>
  </si>
  <si>
    <t>Some College</t>
  </si>
  <si>
    <t>HS Diploma or Equivalent</t>
  </si>
  <si>
    <t>Some High School</t>
  </si>
  <si>
    <t>Less than 9th Grade</t>
  </si>
  <si>
    <t>Population Aged 25+</t>
  </si>
  <si>
    <t>Source:  American Community Survey</t>
  </si>
  <si>
    <t>2005-09 Average</t>
  </si>
  <si>
    <t>Educational Attainment, Population Aged 25 and Older</t>
  </si>
  <si>
    <t>State</t>
  </si>
  <si>
    <t>PacMtn</t>
  </si>
  <si>
    <t>King</t>
  </si>
  <si>
    <t>Pierce</t>
  </si>
  <si>
    <t>Southwest</t>
  </si>
  <si>
    <t>Eastern</t>
  </si>
  <si>
    <t>Benton-Franklin</t>
  </si>
  <si>
    <t>WIA</t>
  </si>
  <si>
    <t>Adult Entered Employment</t>
  </si>
  <si>
    <t xml:space="preserve"> AdultEntered Employment Base</t>
  </si>
  <si>
    <t>Adult Entered Employment Rate</t>
  </si>
  <si>
    <t xml:space="preserve"> DW Entered Employment</t>
  </si>
  <si>
    <t>DW Entered Employment Base</t>
  </si>
  <si>
    <t>DW Entered Employment Rate</t>
  </si>
  <si>
    <t>YOUTH CERTIFICATE NUMERATOR</t>
  </si>
  <si>
    <t>YOUTH CERTIFICATE DENOMINATOR</t>
  </si>
  <si>
    <t>YOUTH CERTIFICATE RATE</t>
  </si>
  <si>
    <t>LIT/NUM NUMERATOR</t>
  </si>
  <si>
    <t>LIT/NUM DENOMINATOR</t>
  </si>
  <si>
    <t>LIT/NUM RATE</t>
  </si>
  <si>
    <t>PLACEMENT NUMERATOR</t>
  </si>
  <si>
    <t>PLACEMENT DENOMINATOR</t>
  </si>
  <si>
    <t>PLACEMENT RATE</t>
  </si>
  <si>
    <t>Actual</t>
  </si>
  <si>
    <t>Actual $</t>
  </si>
  <si>
    <t>Target $</t>
  </si>
  <si>
    <t>Row Labels</t>
  </si>
  <si>
    <t>Grand Total</t>
  </si>
  <si>
    <t>Values</t>
  </si>
  <si>
    <r>
      <t xml:space="preserve">Dashboard : </t>
    </r>
    <r>
      <rPr>
        <b/>
        <i/>
        <sz val="22"/>
        <color theme="1"/>
        <rFont val="Calibri"/>
        <family val="2"/>
        <scheme val="minor"/>
      </rPr>
      <t>Measures</t>
    </r>
  </si>
  <si>
    <t>Dashboard : Indicators</t>
  </si>
  <si>
    <t>Customer Flow Box</t>
  </si>
  <si>
    <t>Program Chart</t>
  </si>
  <si>
    <t>Sum of currentprogram</t>
  </si>
  <si>
    <t>Sum of program1yearago</t>
  </si>
  <si>
    <t>Sum of wiacurrent</t>
  </si>
  <si>
    <t>Sum of wianew1yearago</t>
  </si>
  <si>
    <t>Sum of wianewcurrent</t>
  </si>
  <si>
    <t>Sum of wia1yearago</t>
  </si>
  <si>
    <t>Sum of wiaexitcurrent</t>
  </si>
  <si>
    <t>Sum of wiaexit1yearago</t>
  </si>
  <si>
    <t>Area Unemployed</t>
  </si>
  <si>
    <t>EE Target:</t>
  </si>
  <si>
    <t>Retention Target:</t>
  </si>
  <si>
    <t>Earnings Target:</t>
  </si>
  <si>
    <t>Adult EE Target</t>
  </si>
  <si>
    <t>DW EE Target</t>
  </si>
  <si>
    <t>Youth Certificate Target</t>
  </si>
  <si>
    <t>Lit/Num Target</t>
  </si>
  <si>
    <t>Placement Target</t>
  </si>
  <si>
    <t>Adult Retention</t>
  </si>
  <si>
    <t>Adult Retention Base</t>
  </si>
  <si>
    <t>Adult Retention Rate</t>
  </si>
  <si>
    <t>Adult Retention Target</t>
  </si>
  <si>
    <t>dw Retention</t>
  </si>
  <si>
    <t>dw Retention Base</t>
  </si>
  <si>
    <t>dw Retention Rate</t>
  </si>
  <si>
    <t>dw Retention Target</t>
  </si>
  <si>
    <t>Adult Earnings</t>
  </si>
  <si>
    <t>Adult Earnings Base</t>
  </si>
  <si>
    <t>Adult Average Earnings</t>
  </si>
  <si>
    <t>Adult Average Earnings Target</t>
  </si>
  <si>
    <t>dw Earnings</t>
  </si>
  <si>
    <t>dw Earnings Base</t>
  </si>
  <si>
    <t>dw Average Earnings</t>
  </si>
  <si>
    <t>dw Average Earnings Target</t>
  </si>
  <si>
    <t>job orders</t>
  </si>
  <si>
    <t>OCT-DEC 2010</t>
  </si>
  <si>
    <t>JAN-MAR 2011</t>
  </si>
  <si>
    <t>JUL-SEP 2011</t>
  </si>
  <si>
    <t>OCT-DEC 2011</t>
  </si>
  <si>
    <t>JAN-MAR 2010</t>
  </si>
  <si>
    <t>OCT-DEC 2009</t>
  </si>
  <si>
    <t>APR-JUN 2010</t>
  </si>
  <si>
    <t>JUL-SEP 2010</t>
  </si>
  <si>
    <t>% of Staff Assisted Customers</t>
  </si>
  <si>
    <t>Current Qtr Total</t>
  </si>
  <si>
    <t>% of All Customers</t>
  </si>
  <si>
    <t>Indicators</t>
  </si>
  <si>
    <t>Measures</t>
  </si>
  <si>
    <t>Sum of MgtInd #1 count state_CountOfSEEKERID</t>
  </si>
  <si>
    <t>Sum of MgtInd #2 count state_CountOfSEEKERID</t>
  </si>
  <si>
    <t>Sum of MgtInd #3 count state_CountOfSEEKERID</t>
  </si>
  <si>
    <t>Sum of CountOfSEEKER_ID</t>
  </si>
  <si>
    <t>Sum of MgtInd #5 count state_CountOfSEEKERID</t>
  </si>
  <si>
    <t>Sum of MgtInd #6 count state_CountOfSEEKERID</t>
  </si>
  <si>
    <t>Sum of 1COUNT ALL_CountOfSOCIALSECURITYNUMBER</t>
  </si>
  <si>
    <t>Sum of 1Count of Self-Service ONLY_CountOfSOCIALSECURITYNUMBER</t>
  </si>
  <si>
    <t>Sum of 1CountOfCoreIntensiveOnly_CountOfSEEKERID</t>
  </si>
  <si>
    <t>Sum of 1CountOfCoreOnly_CountOfSEEKERID</t>
  </si>
  <si>
    <t>Sum of 1CountOfStaffAssistedCustomers_CountOfSEEKERID</t>
  </si>
  <si>
    <t>Sum of 1CountTrainingCompletion_CountOfSEEKER_ID</t>
  </si>
  <si>
    <t>Sum of 1CountTrainingOngoing_CountOfSEEKER_ID</t>
  </si>
  <si>
    <t>Sum of 1CountTrainingNew_CountOfSEEKERID</t>
  </si>
  <si>
    <t xml:space="preserve">25+ </t>
  </si>
  <si>
    <t>Sum of 3CountOfJobORders1YearAgo_SumOfJOB OPENINGS</t>
  </si>
  <si>
    <t>Sum of 3COUNT OF JOB ORDERS AND JOB OPENINGS_SumOfJOB OPENINGS</t>
  </si>
  <si>
    <t>Sum of 3CountOfEmployersServed_CountOfEMPLOYER_ID</t>
  </si>
  <si>
    <t>Sum of 3CountOfEmployersServed1YearAgo_CountOfEMPLOYER_ID</t>
  </si>
  <si>
    <t>Job Order Fill Rate</t>
  </si>
  <si>
    <t>Median Wage based on ACS 2009, income for 1 earner</t>
  </si>
  <si>
    <t>State's Median 6 Month Wage</t>
  </si>
  <si>
    <t>employer services</t>
  </si>
  <si>
    <t>Of the WA job orders opened during the quarter the # of placements on those job orders compared to the number of job openings for those same orders. Data continues to mature after this snapshot.</t>
  </si>
  <si>
    <t>All Customers Common Measures</t>
  </si>
  <si>
    <t>Lowest Growth Industry</t>
  </si>
  <si>
    <t>Measure</t>
  </si>
  <si>
    <t>Total Population</t>
  </si>
  <si>
    <t>% of Population +25  w/ High School</t>
  </si>
  <si>
    <t>Customer Flow Table</t>
  </si>
  <si>
    <t>Sum of JobSearch</t>
  </si>
  <si>
    <t>Sum of Assessments</t>
  </si>
  <si>
    <t>Sum of SkillDevelopment</t>
  </si>
  <si>
    <t>Sum of CommunityReferral</t>
  </si>
  <si>
    <t>Yakima County</t>
  </si>
  <si>
    <t>Whitman County</t>
  </si>
  <si>
    <t>Whatcom County</t>
  </si>
  <si>
    <t>Walla Walla County</t>
  </si>
  <si>
    <t>Wahkiakum County</t>
  </si>
  <si>
    <t>Thurston County</t>
  </si>
  <si>
    <t>Stevens County</t>
  </si>
  <si>
    <t>Spokane County</t>
  </si>
  <si>
    <t>Snohomish County</t>
  </si>
  <si>
    <t>Skamania County</t>
  </si>
  <si>
    <t>Skagit County</t>
  </si>
  <si>
    <t>San Juan County</t>
  </si>
  <si>
    <t>Pierce County</t>
  </si>
  <si>
    <t>Pend Oreille County</t>
  </si>
  <si>
    <t>Pacific County</t>
  </si>
  <si>
    <t>Okanogan County</t>
  </si>
  <si>
    <t>Mason County</t>
  </si>
  <si>
    <t>Lincoln County</t>
  </si>
  <si>
    <t>Lewis County</t>
  </si>
  <si>
    <t>Klickitat County</t>
  </si>
  <si>
    <t>Kittitas County</t>
  </si>
  <si>
    <t>Kitsap County</t>
  </si>
  <si>
    <t>King County</t>
  </si>
  <si>
    <t>Jefferson County</t>
  </si>
  <si>
    <t>Island County</t>
  </si>
  <si>
    <t>Grays Harbor County</t>
  </si>
  <si>
    <t>Grant County</t>
  </si>
  <si>
    <t>Garfield County</t>
  </si>
  <si>
    <t>Franklin County</t>
  </si>
  <si>
    <t>Ferry County</t>
  </si>
  <si>
    <t>Douglas County</t>
  </si>
  <si>
    <t>Cowlitz County</t>
  </si>
  <si>
    <t>Columbia County</t>
  </si>
  <si>
    <t>Clark County</t>
  </si>
  <si>
    <t>Clallam County</t>
  </si>
  <si>
    <t>Chelan County</t>
  </si>
  <si>
    <t>Benton County</t>
  </si>
  <si>
    <t>Asotin County</t>
  </si>
  <si>
    <t>Adams County</t>
  </si>
  <si>
    <t>CTYNAME</t>
  </si>
  <si>
    <t>Sum of TOT_POP</t>
  </si>
  <si>
    <t>Sum of TOT_MALE</t>
  </si>
  <si>
    <t>Sum of TOT_FEMALE</t>
  </si>
  <si>
    <t>Column Labels</t>
  </si>
  <si>
    <t>Sum of Protected Racial Class</t>
  </si>
  <si>
    <t>Total Sum of TOT_POP</t>
  </si>
  <si>
    <t>Total Sum of TOT_MALE</t>
  </si>
  <si>
    <t>Total Sum of TOT_FEMALE</t>
  </si>
  <si>
    <t>Total Sum of Protected Racial Class</t>
  </si>
  <si>
    <t xml:space="preserve"> +25 Population</t>
  </si>
  <si>
    <t>% with College degree (of populaton aged +25)</t>
  </si>
  <si>
    <t>HS Or More</t>
  </si>
  <si>
    <t>Area Name</t>
  </si>
  <si>
    <t>Area Number</t>
  </si>
  <si>
    <t>Area#</t>
  </si>
  <si>
    <t>Sum of top5</t>
  </si>
  <si>
    <t>Indicators Bottom Bar</t>
  </si>
  <si>
    <t>Sum of CountOfSEEKERID</t>
  </si>
  <si>
    <t>Sum of CountOfSERVICEDATE</t>
  </si>
  <si>
    <t>Sum of NewWages</t>
  </si>
  <si>
    <t>Sum of OldWages</t>
  </si>
  <si>
    <t>Sum of AvgOfDuration</t>
  </si>
  <si>
    <t>&gt;25 Years Old</t>
  </si>
  <si>
    <t>Staff Assisted</t>
  </si>
  <si>
    <t>DONETS</t>
  </si>
  <si>
    <t>Sum of 1</t>
  </si>
  <si>
    <t>Sum of 2</t>
  </si>
  <si>
    <t>Sum of 3</t>
  </si>
  <si>
    <t>Sum of 4</t>
  </si>
  <si>
    <t>Sum of 5</t>
  </si>
  <si>
    <t>Sum of 6</t>
  </si>
  <si>
    <t>Sum of 7</t>
  </si>
  <si>
    <t>Sum of 8</t>
  </si>
  <si>
    <t>Sum of 9</t>
  </si>
  <si>
    <t>Sum of 10</t>
  </si>
  <si>
    <t>Sum of 11</t>
  </si>
  <si>
    <t>Sum of 12</t>
  </si>
  <si>
    <t>EO</t>
  </si>
  <si>
    <t>Sum of EOCountofSeekersServed_CountOfSEEKERID</t>
  </si>
  <si>
    <t>Sum of EOGenderCount_CountOfSEEKERID</t>
  </si>
  <si>
    <t>Sum of EOAgeCount_CountOfSEEKERID</t>
  </si>
  <si>
    <t>Sum of EODisabilityCount_CountOfSEEKERID</t>
  </si>
  <si>
    <t>Sum of WIA</t>
  </si>
  <si>
    <t>Sum of wiagender</t>
  </si>
  <si>
    <t>Sum of wiarace</t>
  </si>
  <si>
    <t>Sum of wiaage</t>
  </si>
  <si>
    <t>Sum of wiadisability</t>
  </si>
  <si>
    <t>Sum of Over25Count_CountOfSEEKERID</t>
  </si>
  <si>
    <t>Sum of HSCount_CountOfSEEKERID</t>
  </si>
  <si>
    <t>Sum of CollegeCount_CountOfSEEKERID</t>
  </si>
  <si>
    <t>Sum of EOWIA&gt;25Count_CountOfSEEKER_ID</t>
  </si>
  <si>
    <t>Sum of EOWIAHSCount_CountOfSEEKER_ID</t>
  </si>
  <si>
    <t>Sum of EOWIACollegeCount_CountOfSEEKER_ID</t>
  </si>
  <si>
    <t>Average Placement Wage</t>
  </si>
  <si>
    <t>Most Growth in Employment</t>
  </si>
  <si>
    <t>Least Growth in Employment</t>
  </si>
  <si>
    <t>INDICATORS BOTTOM BAR</t>
  </si>
  <si>
    <t>Last Year's DONETS</t>
  </si>
  <si>
    <t>EO Seekers</t>
  </si>
  <si>
    <t>EO WIA</t>
  </si>
  <si>
    <t>Sum of AvgOfMINIMUM_SALARY</t>
  </si>
  <si>
    <t>last year job order</t>
  </si>
  <si>
    <t>Sum of EORaceCount_CountOfSEEKERID</t>
  </si>
  <si>
    <t>Sum of EOSeekersServedCount_CountOfSEEKERID</t>
  </si>
  <si>
    <t>Sum of EOWIASEEKERCOUNT_CountOfSEEKER_ID</t>
  </si>
  <si>
    <t>Sum of EOWIAGENDERCOUNT_CountOfSEEKER_ID</t>
  </si>
  <si>
    <t>Sum of EOWIARACECOUNT_CountOfSEEKER_ID</t>
  </si>
  <si>
    <t>Sum of EOWIAAGECOUNT_CountOfSEEKER_ID</t>
  </si>
  <si>
    <t>Sum of EOWIADSISABILITYCOUNT_CountOfSEEKER_ID</t>
  </si>
  <si>
    <t>Customer Demographic Numbers</t>
  </si>
  <si>
    <t>Sum of COLLEGECOUNT_CountOfSEEKERID</t>
  </si>
  <si>
    <t>Sum of OVER25COUNT_CountOfSEEKERID</t>
  </si>
  <si>
    <t>Sum of HSCOUNT_CountOfSEEKERID</t>
  </si>
  <si>
    <t>Sum of EDUCATIONWIACOUNT_CountOfSEEKER_ID</t>
  </si>
  <si>
    <t>Sum of HSWIACOUNT_CountOfSEEKER_ID</t>
  </si>
  <si>
    <t>Sum of COLLEGEWIACOUNT_CountOfSEEKER_ID</t>
  </si>
  <si>
    <t>Job Search Assistance</t>
  </si>
  <si>
    <t>Management Indicators Bar Chart (see MgtInd below for a list of services)</t>
  </si>
  <si>
    <t>Definitions to the right, click here to see TEGL 17-05 for more details.</t>
  </si>
  <si>
    <t>Additonal Area Profile Data</t>
  </si>
  <si>
    <t>Additonal State Profile Data</t>
  </si>
  <si>
    <t>Currrent Qtr</t>
  </si>
  <si>
    <t>Current Qtr</t>
  </si>
  <si>
    <t xml:space="preserve">Unduplicated count of the staff-assisted seekers who received any service classified as "Assessment*" - </t>
  </si>
  <si>
    <t xml:space="preserve">Unduplicated count of the staff-assisted seekers who received any service classified as "Job Search &amp; Placement*" </t>
  </si>
  <si>
    <t xml:space="preserve">Unduplicated count of the staff-assisted seekers who received any service classified as "Referral to Community Services*" - </t>
  </si>
  <si>
    <t xml:space="preserve">Unduplicated count of the staff assisted seekers who received any service classified as "Skill Development*" - </t>
  </si>
  <si>
    <t>A comparison between the top 5 O*NETs (by 2 digit) desired by Active Job Seekers who have experience in that job within the last 3 years versus the # of job openings for WA job orders opened during the quarter that match that 2 digit O*NET code.</t>
  </si>
  <si>
    <t>New Customers (staff assisted seekers)</t>
  </si>
  <si>
    <t>the total wages of the last jobs held by job seekers who were placed during the quarter, who had an employment history that included an end date and an ending salary</t>
  </si>
  <si>
    <t>The Minimum Wage listed for the WA job orders where placements were made during the quarter</t>
  </si>
  <si>
    <t xml:space="preserve">For all the staff-assisted customers during the quarter, the number of unduplicated days they were served </t>
  </si>
  <si>
    <t>Numbers are reported for the time period that coincides with the 4 quarters that common measures uses to capture Entered Employment Exiters for this quarter's report. These quarterly numbers are based upon an average of each quarter's monthly totals</t>
  </si>
  <si>
    <t>The unemployment rate is calculated by taking the average of quarter's monthly unemployed counts and dividing it by the average of the quarter's monthly labor force counts.</t>
  </si>
  <si>
    <t>Most Growth in Employment: (click for source)</t>
  </si>
  <si>
    <t>Least Growth in Employment: (click for source)</t>
  </si>
  <si>
    <t>* Employment and wages not shown to avoid disclosure of data for individual employer.</t>
  </si>
  <si>
    <t>County Totals</t>
  </si>
  <si>
    <t>Weekly Wage</t>
  </si>
  <si>
    <t>Quarterly Wage</t>
  </si>
  <si>
    <t>Employment</t>
  </si>
  <si>
    <t>County</t>
  </si>
  <si>
    <t>Average</t>
  </si>
  <si>
    <t>Multiple County</t>
  </si>
  <si>
    <t>Average Hourly Wage</t>
  </si>
  <si>
    <t>Average 6 Month Wage</t>
  </si>
  <si>
    <t>Area's Hourly Wage</t>
  </si>
  <si>
    <t>Based upon the QCEW, from the last quarter during the Entered Employment Exit Period, Area's weekly wage divided by 40 hours.</t>
  </si>
  <si>
    <t>State Wagner-Peyser</t>
  </si>
  <si>
    <t>Chart Data Tables</t>
  </si>
  <si>
    <t>Sum of all</t>
  </si>
  <si>
    <t>Sum of self</t>
  </si>
  <si>
    <t>Sum of staffassist</t>
  </si>
  <si>
    <t>Sum of core</t>
  </si>
  <si>
    <t>Sum of coreint</t>
  </si>
  <si>
    <t>Sum of newtraining</t>
  </si>
  <si>
    <t>Sum of ongoing</t>
  </si>
  <si>
    <t>Sum of complete</t>
  </si>
  <si>
    <t>% of Population +25  w/ High School/GED</t>
  </si>
  <si>
    <t>% with HS/GED (of population aged +25)</t>
  </si>
  <si>
    <t>High School/GED</t>
  </si>
  <si>
    <t>Job openings in top 5 desired occupations</t>
  </si>
  <si>
    <t>% of Job Openings in Top 5 Desired Occupations</t>
  </si>
  <si>
    <t>H.S. Annual Drop Out Rate</t>
  </si>
  <si>
    <t>Annual Drop Out Rate</t>
  </si>
  <si>
    <t>Area Unemployment Rate</t>
  </si>
  <si>
    <t>Total Area Labor Force</t>
  </si>
  <si>
    <t>Total Area Unemployed</t>
  </si>
  <si>
    <t>Total Area Unemployment Rate</t>
  </si>
  <si>
    <t>Total Area Employment</t>
  </si>
  <si>
    <t>Entered Labor Force</t>
  </si>
  <si>
    <t>State Labor Force</t>
  </si>
  <si>
    <t>Most Growth in Labor Force</t>
  </si>
  <si>
    <t>Least Growth in Labor Force</t>
  </si>
  <si>
    <t>Average 6 Month Wages</t>
  </si>
  <si>
    <t>Hourly</t>
  </si>
  <si>
    <t>weekly</t>
  </si>
  <si>
    <t>Monthly Wages</t>
  </si>
  <si>
    <t xml:space="preserve">Half of the average annual wages, from the Quarterly Census of Employment and Wages , for the 12 month period  during the Entered Employment Exit period. </t>
  </si>
  <si>
    <t>Q1</t>
  </si>
  <si>
    <t>Q2</t>
  </si>
  <si>
    <t>Q3</t>
  </si>
  <si>
    <t>Total Wages Paid</t>
  </si>
  <si>
    <t>Annual Wage</t>
  </si>
  <si>
    <t>Total Area Wages</t>
  </si>
  <si>
    <t>Average Annual wages</t>
  </si>
  <si>
    <t>2010 Revised Annual Covered Employment by Industry</t>
  </si>
  <si>
    <t>On-time Grads</t>
  </si>
  <si>
    <t>Size of Cohort****</t>
  </si>
  <si>
    <t>Late Grads</t>
  </si>
  <si>
    <t>Total Grads</t>
  </si>
  <si>
    <t>Extended Grad Rate</t>
  </si>
  <si>
    <t>Annual Dropout Rate</t>
  </si>
  <si>
    <t>Name of County</t>
  </si>
  <si>
    <t>Est Cohort Dropout</t>
  </si>
  <si>
    <t>Est Cohort Continue</t>
  </si>
  <si>
    <t>On-Time Grad Rate (minus continuing)</t>
  </si>
  <si>
    <t>area</t>
  </si>
  <si>
    <t xml:space="preserve">Drop Out Rate </t>
  </si>
  <si>
    <t>WDA</t>
  </si>
  <si>
    <t>Area Employed</t>
  </si>
  <si>
    <t>Total Area Employed</t>
  </si>
  <si>
    <t>Area Wagner-Peyser</t>
  </si>
  <si>
    <t>Average Job Order Wage</t>
  </si>
  <si>
    <t>PY08 Q3</t>
  </si>
  <si>
    <t>PY08 Q4</t>
  </si>
  <si>
    <t>PY09 Q1</t>
  </si>
  <si>
    <t>PY09 Q2</t>
  </si>
  <si>
    <t>PY09 Q3</t>
  </si>
  <si>
    <t>PY09 Q4</t>
  </si>
  <si>
    <t>PY10 Q1</t>
  </si>
  <si>
    <t>PY10 Q2</t>
  </si>
  <si>
    <t>PY10 Q3</t>
  </si>
  <si>
    <t>PY10 Q4</t>
  </si>
  <si>
    <t>PY11 Q1</t>
  </si>
  <si>
    <t>PY11 Q2</t>
  </si>
  <si>
    <t>PY11 Q3</t>
  </si>
  <si>
    <t>PY11 Q4</t>
  </si>
  <si>
    <t>PY12 Q1</t>
  </si>
  <si>
    <t>PY12 Q2</t>
  </si>
  <si>
    <t>PY12 Q3</t>
  </si>
  <si>
    <t>PY12 Q4</t>
  </si>
  <si>
    <t>PY13 Q1</t>
  </si>
  <si>
    <t>PY13 Q2</t>
  </si>
  <si>
    <t>PY13 Q3</t>
  </si>
  <si>
    <t>Protected Class</t>
  </si>
  <si>
    <t>Area's Average 6 Month Wage</t>
  </si>
  <si>
    <t>EO Education</t>
  </si>
  <si>
    <t>THIS YEAR'S JOB ORDER WAGE</t>
  </si>
  <si>
    <t>LAST YEAR'S JOB ORDER WAGE</t>
  </si>
  <si>
    <t>Construction -11.2%</t>
  </si>
  <si>
    <t>Other Services +6.6%</t>
  </si>
  <si>
    <t>Sum of current</t>
  </si>
  <si>
    <t>Sum of Currentsalary</t>
  </si>
  <si>
    <t>Sum of Lastyear</t>
  </si>
  <si>
    <t>Sum of Lastyearsalary</t>
  </si>
  <si>
    <t>placements &amp; placement wages</t>
  </si>
  <si>
    <t>Estimated Hourly Average Wage:</t>
  </si>
  <si>
    <t>Estimated Hourly Median Wage:</t>
  </si>
  <si>
    <t>Job Order Average Wage</t>
  </si>
  <si>
    <t>Average wage of all WA job orders opened during the quarter that have a wage listed in SKIES (and that wage is above minimum wage and below $100 using the Minimum Salary field listed for the job)</t>
  </si>
  <si>
    <r>
      <t xml:space="preserve">Of the staff assisted seekers served during the Entered Employment 12 month period(4 quarters), their demographics based upon their SKIES information. Protected class for EO purposes means </t>
    </r>
    <r>
      <rPr>
        <sz val="12"/>
        <rFont val="Calibri"/>
        <family val="2"/>
      </rPr>
      <t>≠ "White"</t>
    </r>
  </si>
  <si>
    <t>Based upon the Quarterly Workforce Indicator Industry Focus "% Growth in Employment" between the 1st quarter of the exit time period compared to the last, by industry sector, for each area.</t>
  </si>
  <si>
    <t>Based upon High School students, data from OSPI, "cohort drop out rate"</t>
  </si>
  <si>
    <t>Sum of CountOfPLACEMENT_ID</t>
  </si>
  <si>
    <t>Construction, -13.5% (4636)</t>
  </si>
  <si>
    <t>Construction, -15.6% (5596)</t>
  </si>
  <si>
    <t>Mining, Quarrying, and Oil and Gas Extraction, +2.2% (207)</t>
  </si>
  <si>
    <t>Arts, Entertainment, and Recreation, -24.9% (3322)</t>
  </si>
  <si>
    <t>Arts, Entertainment, and Recreation, +3.6% (3957)</t>
  </si>
  <si>
    <t>Educational Services, +18.9% (996)</t>
  </si>
  <si>
    <t>Construction, -16.4% (3332)</t>
  </si>
  <si>
    <t>Construction, -8.7% (3362)</t>
  </si>
  <si>
    <t>Information, -15.1% (1055)</t>
  </si>
  <si>
    <t>Utilities, +28.7% (180)</t>
  </si>
  <si>
    <t>Construction, -17.2% (9036)</t>
  </si>
  <si>
    <t>Sum of SumOfSumOfJobOpenings</t>
  </si>
  <si>
    <t>Administrative and Support, +13.2% (4545)</t>
  </si>
  <si>
    <t>Administrative and Support, +9.2% (2118)</t>
  </si>
  <si>
    <t>Management, +9.2% (2716)</t>
  </si>
  <si>
    <t>Professional Services, +6.7% (1390)</t>
  </si>
  <si>
    <t>Other Services , +10.2% (68292)</t>
  </si>
  <si>
    <t>Other Services, +7.1% (8831)</t>
  </si>
  <si>
    <t>Agriculture, +6.5% (756)</t>
  </si>
  <si>
    <t>Mining,Oil/Gas Extraction, +9.6% (211)</t>
  </si>
  <si>
    <t>Management, -22.6% (850)</t>
  </si>
  <si>
    <t>Agriculture, -13.9% (2530)</t>
  </si>
  <si>
    <t>Mining,Oil/Gas Extraction, -17.6% (192)</t>
  </si>
  <si>
    <t>Real Estate, -10.6% (2591)</t>
  </si>
  <si>
    <t>Agriculture, -8.3% (8915)</t>
  </si>
  <si>
    <t>Unduplicated count of all seekers receiving a staff assisted state service during the quarter</t>
  </si>
  <si>
    <t>Unduplicated count of seekers who had at least one day of enrollment in any program during the quarter, and had a service associated with that program open during the quarter. (open meaning the service was begun prior to the end of the quarter)</t>
  </si>
  <si>
    <t>Unduplicated count of all seekers who exited any WIA program during the quarter</t>
  </si>
  <si>
    <t>New: all seekers beginning a training service during the quarter                                                                                                                                    Ongoing: Unduplicated count of all seekers receiving a training service anytime during the quarter                                                                                                                                                           Complete: All participants completing a training service during the quarter</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</si>
</sst>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5" formatCode="&quot;$&quot;#,##0_);\(&quot;$&quot;#,##0\)"/>
    <numFmt numFmtId="6" formatCode="&quot;$&quot;#,##0_);[Red]\(&quot;$&quot;#,##0\)"/>
    <numFmt numFmtId="8" formatCode="&quot;$&quot;#,##0.00_);[Red]\(&quot;$&quot;#,##0.00\)"/>
    <numFmt numFmtId="44" formatCode="_(&quot;$&quot;* #,##0.00_);_(&quot;$&quot;* \(#,##0.00\);_(&quot;$&quot;* &quot;-&quot;??_);_(@_)"/>
    <numFmt numFmtId="43" formatCode="_(* #,##0.00_);_(* \(#,##0.00\);_(* &quot;-&quot;??_);_(@_)"/>
    <numFmt numFmtId="164" formatCode="0.0%"/>
    <numFmt numFmtId="165" formatCode="&quot;$&quot;#,##0"/>
    <numFmt numFmtId="166" formatCode="&quot;$&quot;#,##0.00"/>
    <numFmt numFmtId="167" formatCode="0.0"/>
    <numFmt numFmtId="168" formatCode="#,##0.0"/>
    <numFmt numFmtId="169" formatCode="General_)"/>
    <numFmt numFmtId="170" formatCode="###0"/>
  </numFmts>
  <fonts count="82" x14ac:knownFonts="1">
    <font>
      <sz val="14"/>
      <color theme="1"/>
      <name val="Calibri"/>
      <family val="2"/>
      <scheme val="minor"/>
    </font>
    <font>
      <sz val="14"/>
      <color theme="1"/>
      <name val="Calibri"/>
      <family val="2"/>
      <scheme val="minor"/>
    </font>
    <font>
      <b/>
      <sz val="14"/>
      <color theme="0"/>
      <name val="Calibri"/>
      <family val="2"/>
      <scheme val="minor"/>
    </font>
    <font>
      <b/>
      <sz val="14"/>
      <color theme="1"/>
      <name val="Calibri"/>
      <family val="2"/>
      <scheme val="minor"/>
    </font>
    <font>
      <sz val="12"/>
      <color theme="1"/>
      <name val="Calibri"/>
      <family val="2"/>
      <scheme val="minor"/>
    </font>
    <font>
      <b/>
      <sz val="12"/>
      <color theme="1"/>
      <name val="Calibri"/>
      <family val="2"/>
      <scheme val="minor"/>
    </font>
    <font>
      <sz val="14"/>
      <name val="Calibri"/>
      <family val="2"/>
      <scheme val="minor"/>
    </font>
    <font>
      <b/>
      <sz val="16"/>
      <color theme="1"/>
      <name val="Calibri"/>
      <family val="2"/>
      <scheme val="minor"/>
    </font>
    <font>
      <b/>
      <sz val="18"/>
      <color theme="1"/>
      <name val="Calibri"/>
      <family val="2"/>
      <scheme val="minor"/>
    </font>
    <font>
      <b/>
      <sz val="13"/>
      <color theme="1"/>
      <name val="Calibri"/>
      <family val="2"/>
      <scheme val="minor"/>
    </font>
    <font>
      <sz val="13"/>
      <color theme="1"/>
      <name val="Calibri"/>
      <family val="2"/>
      <scheme val="minor"/>
    </font>
    <font>
      <sz val="10"/>
      <name val="Arial"/>
      <family val="2"/>
    </font>
    <font>
      <b/>
      <sz val="16"/>
      <name val="Calibri"/>
      <family val="2"/>
      <scheme val="minor"/>
    </font>
    <font>
      <b/>
      <sz val="12"/>
      <name val="Calibri"/>
      <family val="2"/>
      <scheme val="minor"/>
    </font>
    <font>
      <b/>
      <sz val="14"/>
      <name val="Calibri"/>
      <family val="2"/>
      <scheme val="minor"/>
    </font>
    <font>
      <b/>
      <sz val="13"/>
      <name val="Calibri"/>
      <family val="2"/>
      <scheme val="minor"/>
    </font>
    <font>
      <u/>
      <sz val="14"/>
      <color theme="10"/>
      <name val="Calibri"/>
      <family val="2"/>
    </font>
    <font>
      <b/>
      <sz val="20"/>
      <color theme="1"/>
      <name val="Calibri"/>
      <family val="2"/>
      <scheme val="minor"/>
    </font>
    <font>
      <sz val="24"/>
      <color theme="1"/>
      <name val="Calibri"/>
      <family val="2"/>
      <scheme val="minor"/>
    </font>
    <font>
      <b/>
      <sz val="18"/>
      <color theme="3"/>
      <name val="Cambria"/>
      <family val="2"/>
      <scheme val="major"/>
    </font>
    <font>
      <sz val="10"/>
      <name val="Arial"/>
      <family val="2"/>
    </font>
    <font>
      <sz val="13"/>
      <color rgb="FFFF0000"/>
      <name val="Calibri"/>
      <family val="2"/>
      <scheme val="minor"/>
    </font>
    <font>
      <sz val="14"/>
      <color rgb="FFFF0000"/>
      <name val="Calibri"/>
      <family val="2"/>
      <scheme val="minor"/>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0"/>
      <color theme="1"/>
      <name val="Arial"/>
      <family val="2"/>
    </font>
    <font>
      <sz val="10"/>
      <color rgb="FFFF0000"/>
      <name val="Arial"/>
      <family val="2"/>
    </font>
    <font>
      <b/>
      <sz val="22"/>
      <color theme="1"/>
      <name val="Calibri"/>
      <family val="2"/>
      <scheme val="minor"/>
    </font>
    <font>
      <sz val="13"/>
      <name val="Calibri"/>
      <family val="2"/>
      <scheme val="minor"/>
    </font>
    <font>
      <b/>
      <i/>
      <sz val="22"/>
      <color theme="1"/>
      <name val="Calibri"/>
      <family val="2"/>
      <scheme val="minor"/>
    </font>
    <font>
      <sz val="8"/>
      <color indexed="81"/>
      <name val="Tahoma"/>
      <family val="2"/>
    </font>
    <font>
      <b/>
      <sz val="8"/>
      <color indexed="81"/>
      <name val="Tahoma"/>
      <family val="2"/>
    </font>
    <font>
      <sz val="12"/>
      <name val="Calibri"/>
      <family val="2"/>
      <scheme val="minor"/>
    </font>
    <font>
      <i/>
      <sz val="24"/>
      <color theme="1"/>
      <name val="Calibri"/>
      <family val="2"/>
      <scheme val="minor"/>
    </font>
    <font>
      <sz val="18"/>
      <color theme="1"/>
      <name val="Calibri"/>
      <family val="2"/>
      <scheme val="minor"/>
    </font>
    <font>
      <b/>
      <i/>
      <sz val="12"/>
      <name val="Calibri"/>
      <family val="2"/>
      <scheme val="minor"/>
    </font>
    <font>
      <u/>
      <sz val="12"/>
      <color theme="10"/>
      <name val="Calibri"/>
      <family val="2"/>
    </font>
    <font>
      <b/>
      <sz val="12"/>
      <color theme="0"/>
      <name val="Calibri"/>
      <family val="2"/>
      <scheme val="minor"/>
    </font>
    <font>
      <b/>
      <sz val="12"/>
      <name val="Arial"/>
      <family val="2"/>
    </font>
    <font>
      <b/>
      <sz val="10"/>
      <name val="Arial"/>
      <family val="2"/>
    </font>
    <font>
      <sz val="11"/>
      <color theme="1"/>
      <name val="Calibri"/>
      <family val="2"/>
      <scheme val="minor"/>
    </font>
    <font>
      <sz val="10"/>
      <name val="Courier"/>
      <family val="3"/>
    </font>
    <font>
      <sz val="20"/>
      <color theme="1"/>
      <name val="Calibri"/>
      <family val="2"/>
      <scheme val="minor"/>
    </font>
    <font>
      <sz val="12"/>
      <color theme="1"/>
      <name val="Arial"/>
      <family val="2"/>
    </font>
    <font>
      <sz val="12"/>
      <color rgb="FF000000"/>
      <name val="Arial"/>
      <family val="2"/>
    </font>
    <font>
      <sz val="16"/>
      <color theme="1"/>
      <name val="Calibri"/>
      <family val="2"/>
      <scheme val="minor"/>
    </font>
    <font>
      <sz val="28"/>
      <color theme="1"/>
      <name val="Calibri"/>
      <family val="2"/>
      <scheme val="minor"/>
    </font>
    <font>
      <sz val="10"/>
      <color theme="1"/>
      <name val="Calibri"/>
      <family val="2"/>
      <scheme val="minor"/>
    </font>
    <font>
      <sz val="10"/>
      <name val="Calibri"/>
      <family val="2"/>
      <scheme val="minor"/>
    </font>
    <font>
      <b/>
      <sz val="10"/>
      <color theme="0"/>
      <name val="Calibri"/>
      <family val="2"/>
      <scheme val="minor"/>
    </font>
    <font>
      <b/>
      <sz val="10"/>
      <name val="Calibri"/>
      <family val="2"/>
      <scheme val="minor"/>
    </font>
    <font>
      <b/>
      <sz val="10"/>
      <color theme="1"/>
      <name val="Calibri"/>
      <family val="2"/>
      <scheme val="minor"/>
    </font>
    <font>
      <b/>
      <sz val="24"/>
      <color theme="1"/>
      <name val="Calibri"/>
      <family val="2"/>
      <scheme val="minor"/>
    </font>
    <font>
      <b/>
      <sz val="14"/>
      <color rgb="FFFF0000"/>
      <name val="Calibri"/>
      <family val="2"/>
      <scheme val="minor"/>
    </font>
    <font>
      <i/>
      <sz val="9"/>
      <color theme="1"/>
      <name val="Calibri"/>
      <family val="2"/>
      <scheme val="minor"/>
    </font>
    <font>
      <sz val="10"/>
      <color indexed="81"/>
      <name val="Calibri"/>
      <family val="2"/>
      <scheme val="minor"/>
    </font>
    <font>
      <b/>
      <sz val="14"/>
      <color indexed="81"/>
      <name val="Calibri"/>
      <family val="2"/>
      <scheme val="minor"/>
    </font>
    <font>
      <sz val="10"/>
      <name val="Arial"/>
      <family val="2"/>
    </font>
    <font>
      <sz val="10"/>
      <name val="Arial Narrow"/>
      <family val="2"/>
    </font>
    <font>
      <sz val="10"/>
      <color indexed="10"/>
      <name val="Arial"/>
      <family val="2"/>
    </font>
    <font>
      <sz val="10"/>
      <color indexed="81"/>
      <name val="Tahoma"/>
      <family val="2"/>
    </font>
    <font>
      <b/>
      <sz val="10"/>
      <color indexed="81"/>
      <name val="Tahoma"/>
      <family val="2"/>
    </font>
    <font>
      <sz val="10"/>
      <color indexed="17"/>
      <name val="Arial"/>
      <family val="2"/>
    </font>
    <font>
      <sz val="10"/>
      <color indexed="12"/>
      <name val="Arial"/>
      <family val="2"/>
    </font>
    <font>
      <sz val="10"/>
      <color indexed="20"/>
      <name val="Arial"/>
      <family val="2"/>
    </font>
    <font>
      <sz val="10"/>
      <name val="Courier"/>
      <family val="3"/>
    </font>
    <font>
      <b/>
      <sz val="14"/>
      <color theme="1"/>
      <name val="Arial"/>
      <family val="2"/>
    </font>
    <font>
      <sz val="12"/>
      <name val="Calibri"/>
      <family val="2"/>
    </font>
    <font>
      <b/>
      <sz val="10"/>
      <color rgb="FF000000"/>
      <name val="Arial"/>
      <family val="2"/>
    </font>
    <font>
      <sz val="10"/>
      <color rgb="FF000000"/>
      <name val="Arial"/>
      <family val="2"/>
    </font>
  </fonts>
  <fills count="48">
    <fill>
      <patternFill patternType="none"/>
    </fill>
    <fill>
      <patternFill patternType="gray125"/>
    </fill>
    <fill>
      <patternFill patternType="solid">
        <fgColor theme="4" tint="0.79998168889431442"/>
        <bgColor indexed="64"/>
      </patternFill>
    </fill>
    <fill>
      <patternFill patternType="solid">
        <fgColor theme="3" tint="0.59996337778862885"/>
        <bgColor indexed="64"/>
      </patternFill>
    </fill>
    <fill>
      <patternFill patternType="solid">
        <fgColor theme="1"/>
        <bgColor indexed="64"/>
      </patternFill>
    </fill>
    <fill>
      <patternFill patternType="solid">
        <fgColor theme="0"/>
        <bgColor indexed="64"/>
      </patternFill>
    </fill>
    <fill>
      <patternFill patternType="solid">
        <fgColor theme="3"/>
        <bgColor indexed="64"/>
      </patternFill>
    </fill>
    <fill>
      <patternFill patternType="solid">
        <fgColor rgb="FFA5A5A5"/>
      </patternFill>
    </fill>
    <fill>
      <gradientFill degree="270">
        <stop position="0">
          <color theme="0"/>
        </stop>
        <stop position="1">
          <color theme="4"/>
        </stop>
      </gradientFill>
    </fill>
    <fill>
      <gradientFill degree="90">
        <stop position="0">
          <color theme="0"/>
        </stop>
        <stop position="1">
          <color theme="4"/>
        </stop>
      </gradientFill>
    </fill>
    <fill>
      <gradientFill degree="90">
        <stop position="0">
          <color theme="0"/>
        </stop>
        <stop position="1">
          <color theme="3" tint="0.80001220740379042"/>
        </stop>
      </gradient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5"/>
        <bgColor auto="1"/>
      </patternFill>
    </fill>
    <fill>
      <patternFill patternType="solid">
        <fgColor theme="0" tint="-0.14999847407452621"/>
        <bgColor indexed="64"/>
      </patternFill>
    </fill>
    <fill>
      <patternFill patternType="solid">
        <fgColor theme="8" tint="-0.249977111117893"/>
        <bgColor indexed="64"/>
      </patternFill>
    </fill>
    <fill>
      <patternFill patternType="solid">
        <fgColor theme="0" tint="-0.14996795556505021"/>
        <bgColor indexed="64"/>
      </patternFill>
    </fill>
    <fill>
      <patternFill patternType="solid">
        <fgColor theme="2" tint="-0.499984740745262"/>
        <bgColor indexed="64"/>
      </patternFill>
    </fill>
    <fill>
      <patternFill patternType="solid">
        <fgColor rgb="FFFFFF00"/>
        <bgColor indexed="64"/>
      </patternFill>
    </fill>
    <fill>
      <patternFill patternType="solid">
        <fgColor theme="4" tint="0.79998168889431442"/>
        <bgColor theme="4" tint="0.79998168889431442"/>
      </patternFill>
    </fill>
  </fills>
  <borders count="38">
    <border>
      <left/>
      <right/>
      <top/>
      <bottom/>
      <diagonal/>
    </border>
    <border>
      <left style="medium">
        <color indexed="64"/>
      </left>
      <right/>
      <top/>
      <bottom/>
      <diagonal/>
    </border>
    <border>
      <left/>
      <right/>
      <top style="medium">
        <color indexed="64"/>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double">
        <color rgb="FF3F3F3F"/>
      </left>
      <right style="double">
        <color rgb="FF3F3F3F"/>
      </right>
      <top style="double">
        <color rgb="FF3F3F3F"/>
      </top>
      <bottom style="double">
        <color rgb="FF3F3F3F"/>
      </bottom>
      <diagonal/>
    </border>
    <border>
      <left/>
      <right/>
      <top/>
      <bottom style="thin">
        <color indexed="64"/>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top/>
      <bottom style="medium">
        <color indexed="64"/>
      </bottom>
      <diagonal/>
    </border>
    <border>
      <left style="thin">
        <color auto="1"/>
      </left>
      <right style="medium">
        <color indexed="64"/>
      </right>
      <top/>
      <bottom style="medium">
        <color indexed="64"/>
      </bottom>
      <diagonal/>
    </border>
    <border>
      <left/>
      <right/>
      <top/>
      <bottom style="thin">
        <color theme="4" tint="0.39997558519241921"/>
      </bottom>
      <diagonal/>
    </border>
    <border>
      <left/>
      <right style="medium">
        <color indexed="64"/>
      </right>
      <top style="medium">
        <color indexed="64"/>
      </top>
      <bottom style="medium">
        <color indexed="64"/>
      </bottom>
      <diagonal/>
    </border>
  </borders>
  <cellStyleXfs count="101">
    <xf numFmtId="0" fontId="0" fillId="0" borderId="0"/>
    <xf numFmtId="9" fontId="1" fillId="0" borderId="0" applyFont="0" applyFill="0" applyBorder="0" applyAlignment="0" applyProtection="0"/>
    <xf numFmtId="0" fontId="11" fillId="0" borderId="0"/>
    <xf numFmtId="0" fontId="16" fillId="0" borderId="0" applyNumberFormat="0" applyFill="0" applyBorder="0" applyAlignment="0" applyProtection="0">
      <alignment vertical="top"/>
      <protection locked="0"/>
    </xf>
    <xf numFmtId="0" fontId="2" fillId="7" borderId="11" applyNumberFormat="0" applyAlignment="0" applyProtection="0"/>
    <xf numFmtId="0" fontId="19" fillId="0" borderId="0" applyNumberFormat="0" applyFill="0" applyBorder="0" applyAlignment="0" applyProtection="0"/>
    <xf numFmtId="0" fontId="20" fillId="0" borderId="0"/>
    <xf numFmtId="43" fontId="20" fillId="0" borderId="0" applyFont="0" applyFill="0" applyBorder="0" applyAlignment="0" applyProtection="0"/>
    <xf numFmtId="43" fontId="11" fillId="0" borderId="0" applyFont="0" applyFill="0" applyBorder="0" applyAlignment="0" applyProtection="0"/>
    <xf numFmtId="0" fontId="23" fillId="18" borderId="0" applyNumberFormat="0" applyBorder="0" applyAlignment="0" applyProtection="0"/>
    <xf numFmtId="0" fontId="23" fillId="22" borderId="0" applyNumberFormat="0" applyBorder="0" applyAlignment="0" applyProtection="0"/>
    <xf numFmtId="0" fontId="23" fillId="26" borderId="0" applyNumberFormat="0" applyBorder="0" applyAlignment="0" applyProtection="0"/>
    <xf numFmtId="0" fontId="23" fillId="30" borderId="0" applyNumberFormat="0" applyBorder="0" applyAlignment="0" applyProtection="0"/>
    <xf numFmtId="0" fontId="23" fillId="34" borderId="0" applyNumberFormat="0" applyBorder="0" applyAlignment="0" applyProtection="0"/>
    <xf numFmtId="0" fontId="23" fillId="38" borderId="0" applyNumberFormat="0" applyBorder="0" applyAlignment="0" applyProtection="0"/>
    <xf numFmtId="0" fontId="23" fillId="19" borderId="0" applyNumberFormat="0" applyBorder="0" applyAlignment="0" applyProtection="0"/>
    <xf numFmtId="0" fontId="23" fillId="23" borderId="0" applyNumberFormat="0" applyBorder="0" applyAlignment="0" applyProtection="0"/>
    <xf numFmtId="0" fontId="23" fillId="27" borderId="0" applyNumberFormat="0" applyBorder="0" applyAlignment="0" applyProtection="0"/>
    <xf numFmtId="0" fontId="23" fillId="31" borderId="0" applyNumberFormat="0" applyBorder="0" applyAlignment="0" applyProtection="0"/>
    <xf numFmtId="0" fontId="23" fillId="35" borderId="0" applyNumberFormat="0" applyBorder="0" applyAlignment="0" applyProtection="0"/>
    <xf numFmtId="0" fontId="23" fillId="39" borderId="0" applyNumberFormat="0" applyBorder="0" applyAlignment="0" applyProtection="0"/>
    <xf numFmtId="0" fontId="24" fillId="20" borderId="0" applyNumberFormat="0" applyBorder="0" applyAlignment="0" applyProtection="0"/>
    <xf numFmtId="0" fontId="24" fillId="24" borderId="0" applyNumberFormat="0" applyBorder="0" applyAlignment="0" applyProtection="0"/>
    <xf numFmtId="0" fontId="24" fillId="28" borderId="0" applyNumberFormat="0" applyBorder="0" applyAlignment="0" applyProtection="0"/>
    <xf numFmtId="0" fontId="24" fillId="32" borderId="0" applyNumberFormat="0" applyBorder="0" applyAlignment="0" applyProtection="0"/>
    <xf numFmtId="0" fontId="24" fillId="36" borderId="0" applyNumberFormat="0" applyBorder="0" applyAlignment="0" applyProtection="0"/>
    <xf numFmtId="0" fontId="24" fillId="40"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29" borderId="0" applyNumberFormat="0" applyBorder="0" applyAlignment="0" applyProtection="0"/>
    <xf numFmtId="0" fontId="24" fillId="33" borderId="0" applyNumberFormat="0" applyBorder="0" applyAlignment="0" applyProtection="0"/>
    <xf numFmtId="0" fontId="24" fillId="37" borderId="0" applyNumberFormat="0" applyBorder="0" applyAlignment="0" applyProtection="0"/>
    <xf numFmtId="0" fontId="25" fillId="12" borderId="0" applyNumberFormat="0" applyBorder="0" applyAlignment="0" applyProtection="0"/>
    <xf numFmtId="0" fontId="26" fillId="15" borderId="17" applyNumberFormat="0" applyAlignment="0" applyProtection="0"/>
    <xf numFmtId="0" fontId="27" fillId="7" borderId="11" applyNumberFormat="0" applyAlignment="0" applyProtection="0"/>
    <xf numFmtId="0" fontId="28" fillId="0" borderId="0" applyNumberFormat="0" applyFill="0" applyBorder="0" applyAlignment="0" applyProtection="0"/>
    <xf numFmtId="0" fontId="29" fillId="11" borderId="0" applyNumberFormat="0" applyBorder="0" applyAlignment="0" applyProtection="0"/>
    <xf numFmtId="0" fontId="30" fillId="0" borderId="14" applyNumberFormat="0" applyFill="0" applyAlignment="0" applyProtection="0"/>
    <xf numFmtId="0" fontId="31" fillId="0" borderId="15" applyNumberFormat="0" applyFill="0" applyAlignment="0" applyProtection="0"/>
    <xf numFmtId="0" fontId="32" fillId="0" borderId="16" applyNumberFormat="0" applyFill="0" applyAlignment="0" applyProtection="0"/>
    <xf numFmtId="0" fontId="32" fillId="0" borderId="0" applyNumberFormat="0" applyFill="0" applyBorder="0" applyAlignment="0" applyProtection="0"/>
    <xf numFmtId="0" fontId="33" fillId="14" borderId="17" applyNumberFormat="0" applyAlignment="0" applyProtection="0"/>
    <xf numFmtId="0" fontId="34" fillId="0" borderId="19" applyNumberFormat="0" applyFill="0" applyAlignment="0" applyProtection="0"/>
    <xf numFmtId="0" fontId="35" fillId="13" borderId="0" applyNumberFormat="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23" fillId="0" borderId="0"/>
    <xf numFmtId="0" fontId="23" fillId="16" borderId="20" applyNumberFormat="0" applyFont="0" applyAlignment="0" applyProtection="0"/>
    <xf numFmtId="0" fontId="23" fillId="16" borderId="20" applyNumberFormat="0" applyFont="0" applyAlignment="0" applyProtection="0"/>
    <xf numFmtId="0" fontId="23" fillId="16" borderId="20" applyNumberFormat="0" applyFont="0" applyAlignment="0" applyProtection="0"/>
    <xf numFmtId="0" fontId="23" fillId="16" borderId="20" applyNumberFormat="0" applyFont="0" applyAlignment="0" applyProtection="0"/>
    <xf numFmtId="0" fontId="23" fillId="16" borderId="20" applyNumberFormat="0" applyFont="0" applyAlignment="0" applyProtection="0"/>
    <xf numFmtId="0" fontId="23" fillId="16" borderId="20" applyNumberFormat="0" applyFont="0" applyAlignment="0" applyProtection="0"/>
    <xf numFmtId="0" fontId="23" fillId="16" borderId="20" applyNumberFormat="0" applyFont="0" applyAlignment="0" applyProtection="0"/>
    <xf numFmtId="0" fontId="23" fillId="16" borderId="20" applyNumberFormat="0" applyFont="0" applyAlignment="0" applyProtection="0"/>
    <xf numFmtId="0" fontId="23" fillId="16" borderId="20" applyNumberFormat="0" applyFont="0" applyAlignment="0" applyProtection="0"/>
    <xf numFmtId="0" fontId="23" fillId="16" borderId="20" applyNumberFormat="0" applyFont="0" applyAlignment="0" applyProtection="0"/>
    <xf numFmtId="0" fontId="36" fillId="15" borderId="18" applyNumberFormat="0" applyAlignment="0" applyProtection="0"/>
    <xf numFmtId="9" fontId="11"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37" fillId="0" borderId="21" applyNumberFormat="0" applyFill="0" applyAlignment="0" applyProtection="0"/>
    <xf numFmtId="0" fontId="38" fillId="0" borderId="0" applyNumberFormat="0" applyFill="0" applyBorder="0" applyAlignment="0" applyProtection="0"/>
    <xf numFmtId="44" fontId="1" fillId="0" borderId="0" applyFont="0" applyFill="0" applyBorder="0" applyAlignment="0" applyProtection="0"/>
    <xf numFmtId="0" fontId="52" fillId="0" borderId="0"/>
    <xf numFmtId="9" fontId="52" fillId="0" borderId="0" applyFont="0" applyFill="0" applyBorder="0" applyAlignment="0" applyProtection="0"/>
    <xf numFmtId="169" fontId="53" fillId="0" borderId="0"/>
    <xf numFmtId="0" fontId="69" fillId="0" borderId="0"/>
    <xf numFmtId="44" fontId="11" fillId="0" borderId="0" applyFont="0" applyFill="0" applyBorder="0" applyAlignment="0" applyProtection="0"/>
    <xf numFmtId="0" fontId="11" fillId="0" borderId="0"/>
    <xf numFmtId="169" fontId="77" fillId="0" borderId="0"/>
  </cellStyleXfs>
  <cellXfs count="598">
    <xf numFmtId="0" fontId="0" fillId="0" borderId="0" xfId="0"/>
    <xf numFmtId="3" fontId="0" fillId="0" borderId="0" xfId="0" applyNumberFormat="1"/>
    <xf numFmtId="0" fontId="0" fillId="0" borderId="0" xfId="0" applyAlignment="1">
      <alignment wrapText="1"/>
    </xf>
    <xf numFmtId="0" fontId="0" fillId="0" borderId="0" xfId="0" applyFill="1" applyBorder="1"/>
    <xf numFmtId="0" fontId="4" fillId="2" borderId="0" xfId="0" applyFont="1" applyFill="1" applyBorder="1"/>
    <xf numFmtId="0" fontId="0" fillId="0" borderId="0" xfId="0" applyFill="1"/>
    <xf numFmtId="0" fontId="4" fillId="0" borderId="0" xfId="0" applyFont="1" applyFill="1" applyBorder="1"/>
    <xf numFmtId="10" fontId="5" fillId="0" borderId="0" xfId="0" applyNumberFormat="1" applyFont="1" applyFill="1" applyBorder="1" applyAlignment="1">
      <alignment horizontal="center"/>
    </xf>
    <xf numFmtId="0" fontId="5" fillId="0" borderId="0" xfId="0" applyFont="1" applyFill="1" applyBorder="1" applyAlignment="1">
      <alignment horizontal="center" wrapText="1"/>
    </xf>
    <xf numFmtId="0" fontId="4" fillId="0" borderId="0" xfId="0" applyFont="1"/>
    <xf numFmtId="0" fontId="5" fillId="0" borderId="0" xfId="0" applyFont="1" applyAlignment="1">
      <alignment wrapText="1"/>
    </xf>
    <xf numFmtId="0" fontId="4" fillId="0" borderId="0" xfId="0" applyFont="1" applyAlignment="1">
      <alignment wrapText="1"/>
    </xf>
    <xf numFmtId="0" fontId="4" fillId="0" borderId="0" xfId="0" applyFont="1" applyBorder="1"/>
    <xf numFmtId="0" fontId="0" fillId="0" borderId="0" xfId="0" applyBorder="1"/>
    <xf numFmtId="3" fontId="0" fillId="0" borderId="0" xfId="0" applyNumberFormat="1" applyBorder="1"/>
    <xf numFmtId="9" fontId="0" fillId="0" borderId="0" xfId="0" applyNumberFormat="1"/>
    <xf numFmtId="9" fontId="0" fillId="0" borderId="0" xfId="1" applyFont="1" applyAlignment="1">
      <alignment wrapText="1"/>
    </xf>
    <xf numFmtId="9" fontId="0" fillId="0" borderId="0" xfId="1" applyFont="1"/>
    <xf numFmtId="0" fontId="11" fillId="0" borderId="0" xfId="2"/>
    <xf numFmtId="9" fontId="4" fillId="0" borderId="0" xfId="0" applyNumberFormat="1" applyFont="1" applyBorder="1" applyAlignment="1">
      <alignment horizontal="center"/>
    </xf>
    <xf numFmtId="0" fontId="18" fillId="0" borderId="0" xfId="0" applyFont="1"/>
    <xf numFmtId="0" fontId="11" fillId="0" borderId="0" xfId="2"/>
    <xf numFmtId="3" fontId="5" fillId="8" borderId="0" xfId="0" applyNumberFormat="1" applyFont="1" applyFill="1" applyBorder="1" applyAlignment="1">
      <alignment horizontal="left" wrapText="1"/>
    </xf>
    <xf numFmtId="3" fontId="4" fillId="0" borderId="0" xfId="0" applyNumberFormat="1" applyFont="1" applyBorder="1" applyAlignment="1">
      <alignment horizontal="left" indent="1"/>
    </xf>
    <xf numFmtId="9" fontId="0" fillId="0" borderId="0" xfId="0" applyNumberFormat="1" applyBorder="1"/>
    <xf numFmtId="9" fontId="0" fillId="0" borderId="0" xfId="0" applyNumberFormat="1" applyFill="1" applyBorder="1"/>
    <xf numFmtId="0" fontId="11" fillId="0" borderId="0" xfId="2" applyBorder="1"/>
    <xf numFmtId="0" fontId="4" fillId="0" borderId="0" xfId="0" applyFont="1" applyFill="1" applyBorder="1" applyAlignment="1">
      <alignment horizontal="center" wrapText="1"/>
    </xf>
    <xf numFmtId="0" fontId="14" fillId="8" borderId="0" xfId="0" applyFont="1" applyFill="1" applyBorder="1" applyAlignment="1">
      <alignment wrapText="1"/>
    </xf>
    <xf numFmtId="0" fontId="12" fillId="8" borderId="0" xfId="0" applyFont="1" applyFill="1" applyBorder="1" applyAlignment="1">
      <alignment wrapText="1"/>
    </xf>
    <xf numFmtId="0" fontId="12" fillId="8" borderId="0" xfId="0" applyFont="1" applyFill="1" applyBorder="1" applyAlignment="1">
      <alignment horizontal="center" wrapText="1"/>
    </xf>
    <xf numFmtId="0" fontId="5" fillId="8" borderId="0" xfId="0" applyFont="1" applyFill="1" applyBorder="1" applyAlignment="1">
      <alignment wrapText="1"/>
    </xf>
    <xf numFmtId="164" fontId="0" fillId="0" borderId="0" xfId="0" applyNumberFormat="1" applyBorder="1"/>
    <xf numFmtId="0" fontId="0" fillId="0" borderId="0" xfId="0" applyFont="1" applyBorder="1" applyAlignment="1">
      <alignment horizontal="left"/>
    </xf>
    <xf numFmtId="0" fontId="4" fillId="0" borderId="0" xfId="0" applyFont="1" applyBorder="1" applyAlignment="1">
      <alignment horizontal="left"/>
    </xf>
    <xf numFmtId="0" fontId="18" fillId="0" borderId="0" xfId="0" applyFont="1" applyBorder="1"/>
    <xf numFmtId="0" fontId="4" fillId="0" borderId="0" xfId="0" applyFont="1" applyBorder="1" applyAlignment="1">
      <alignment horizontal="left" wrapText="1"/>
    </xf>
    <xf numFmtId="0" fontId="6" fillId="8" borderId="0" xfId="0" applyFont="1" applyFill="1" applyBorder="1" applyAlignment="1">
      <alignment horizontal="center" wrapText="1"/>
    </xf>
    <xf numFmtId="10" fontId="5" fillId="0" borderId="0" xfId="0" applyNumberFormat="1" applyFont="1" applyFill="1" applyBorder="1" applyAlignment="1">
      <alignment horizontal="center" wrapText="1"/>
    </xf>
    <xf numFmtId="3" fontId="10" fillId="0" borderId="0" xfId="0" applyNumberFormat="1" applyFont="1" applyFill="1" applyBorder="1" applyAlignment="1">
      <alignment horizontal="center"/>
    </xf>
    <xf numFmtId="0" fontId="0" fillId="0" borderId="0" xfId="0" applyFill="1" applyBorder="1" applyAlignment="1">
      <alignment wrapText="1"/>
    </xf>
    <xf numFmtId="0" fontId="2" fillId="0" borderId="0" xfId="4" applyFill="1" applyBorder="1"/>
    <xf numFmtId="3" fontId="10" fillId="0" borderId="0" xfId="0" applyNumberFormat="1" applyFont="1" applyFill="1" applyBorder="1" applyAlignment="1">
      <alignment horizontal="center" wrapText="1"/>
    </xf>
    <xf numFmtId="0" fontId="11" fillId="0" borderId="0" xfId="2" applyBorder="1" applyAlignment="1">
      <alignment horizontal="left"/>
    </xf>
    <xf numFmtId="0" fontId="6" fillId="8" borderId="0" xfId="0" applyFont="1" applyFill="1" applyBorder="1" applyAlignment="1">
      <alignment horizontal="left" wrapText="1"/>
    </xf>
    <xf numFmtId="164" fontId="0" fillId="0" borderId="0" xfId="0" applyNumberFormat="1" applyBorder="1" applyAlignment="1">
      <alignment horizontal="left"/>
    </xf>
    <xf numFmtId="0" fontId="0" fillId="0" borderId="0" xfId="0" applyBorder="1" applyAlignment="1">
      <alignment horizontal="left"/>
    </xf>
    <xf numFmtId="0" fontId="0" fillId="0" borderId="0" xfId="0" applyAlignment="1">
      <alignment horizontal="left"/>
    </xf>
    <xf numFmtId="0" fontId="14" fillId="8" borderId="0" xfId="0" applyFont="1" applyFill="1" applyBorder="1" applyAlignment="1">
      <alignment horizontal="left" wrapText="1"/>
    </xf>
    <xf numFmtId="3" fontId="0" fillId="0" borderId="0" xfId="0" applyNumberFormat="1" applyBorder="1" applyAlignment="1">
      <alignment horizontal="left"/>
    </xf>
    <xf numFmtId="0" fontId="17" fillId="8" borderId="0" xfId="0" applyFont="1" applyFill="1" applyBorder="1" applyAlignment="1">
      <alignment horizontal="left"/>
    </xf>
    <xf numFmtId="0" fontId="0" fillId="0" borderId="0" xfId="0" applyFill="1" applyBorder="1" applyAlignment="1">
      <alignment horizontal="left"/>
    </xf>
    <xf numFmtId="9" fontId="0" fillId="0" borderId="0" xfId="0" applyNumberFormat="1" applyBorder="1" applyAlignment="1">
      <alignment horizontal="left"/>
    </xf>
    <xf numFmtId="9" fontId="4" fillId="0" borderId="0" xfId="0" applyNumberFormat="1" applyFont="1" applyBorder="1" applyAlignment="1">
      <alignment horizontal="left"/>
    </xf>
    <xf numFmtId="0" fontId="5" fillId="8" borderId="0" xfId="0" applyFont="1" applyFill="1" applyBorder="1" applyAlignment="1">
      <alignment horizontal="left" wrapText="1"/>
    </xf>
    <xf numFmtId="0" fontId="11" fillId="0" borderId="0" xfId="2" applyAlignment="1">
      <alignment horizontal="left"/>
    </xf>
    <xf numFmtId="0" fontId="17" fillId="8" borderId="0" xfId="0" applyFont="1" applyFill="1" applyBorder="1" applyAlignment="1">
      <alignment vertical="top"/>
    </xf>
    <xf numFmtId="0" fontId="17" fillId="8" borderId="0" xfId="0" applyFont="1" applyFill="1" applyBorder="1" applyAlignment="1"/>
    <xf numFmtId="0" fontId="39" fillId="9" borderId="0" xfId="0" applyFont="1" applyFill="1" applyBorder="1" applyAlignment="1"/>
    <xf numFmtId="3" fontId="10" fillId="0" borderId="0" xfId="1" applyNumberFormat="1" applyFont="1" applyFill="1" applyBorder="1" applyAlignment="1">
      <alignment horizontal="center"/>
    </xf>
    <xf numFmtId="9" fontId="10" fillId="0" borderId="0" xfId="0" applyNumberFormat="1" applyFont="1" applyFill="1" applyBorder="1" applyAlignment="1">
      <alignment horizontal="center"/>
    </xf>
    <xf numFmtId="3" fontId="40" fillId="0" borderId="0" xfId="0" applyNumberFormat="1" applyFont="1" applyFill="1" applyBorder="1" applyAlignment="1">
      <alignment horizontal="center"/>
    </xf>
    <xf numFmtId="3" fontId="21" fillId="0" borderId="0" xfId="0" applyNumberFormat="1" applyFont="1" applyFill="1" applyBorder="1" applyAlignment="1">
      <alignment horizontal="center"/>
    </xf>
    <xf numFmtId="0" fontId="2" fillId="0" borderId="0" xfId="4" applyFill="1" applyBorder="1" applyAlignment="1">
      <alignment wrapText="1"/>
    </xf>
    <xf numFmtId="9" fontId="10" fillId="0" borderId="0" xfId="0" applyNumberFormat="1" applyFont="1" applyFill="1" applyBorder="1" applyAlignment="1">
      <alignment horizontal="center" wrapText="1"/>
    </xf>
    <xf numFmtId="3" fontId="6" fillId="0" borderId="0" xfId="0" applyNumberFormat="1" applyFont="1" applyFill="1" applyBorder="1"/>
    <xf numFmtId="3" fontId="0" fillId="0" borderId="0" xfId="0" applyNumberFormat="1" applyFill="1" applyBorder="1"/>
    <xf numFmtId="0" fontId="11" fillId="0" borderId="0" xfId="2" applyFill="1" applyBorder="1"/>
    <xf numFmtId="3" fontId="14" fillId="0" borderId="0" xfId="4" applyNumberFormat="1" applyFont="1" applyFill="1" applyBorder="1" applyAlignment="1">
      <alignment horizontal="center"/>
    </xf>
    <xf numFmtId="3" fontId="14" fillId="0" borderId="0" xfId="4" applyNumberFormat="1" applyFont="1" applyFill="1" applyBorder="1" applyAlignment="1">
      <alignment horizontal="center" wrapText="1"/>
    </xf>
    <xf numFmtId="3" fontId="22" fillId="0" borderId="0" xfId="0" applyNumberFormat="1" applyFont="1" applyFill="1" applyBorder="1"/>
    <xf numFmtId="9" fontId="2" fillId="0" borderId="0" xfId="4" applyNumberFormat="1" applyFill="1" applyBorder="1"/>
    <xf numFmtId="3" fontId="14" fillId="0" borderId="0" xfId="4" applyNumberFormat="1" applyFont="1" applyFill="1" applyBorder="1"/>
    <xf numFmtId="3" fontId="2" fillId="0" borderId="0" xfId="4" applyNumberFormat="1" applyFill="1" applyBorder="1"/>
    <xf numFmtId="0" fontId="15" fillId="0" borderId="0" xfId="2" applyFont="1" applyBorder="1" applyAlignment="1">
      <alignment vertical="center" wrapText="1"/>
    </xf>
    <xf numFmtId="0" fontId="15" fillId="0" borderId="0" xfId="2" applyFont="1" applyAlignment="1">
      <alignment vertical="center" wrapText="1"/>
    </xf>
    <xf numFmtId="0" fontId="9" fillId="0" borderId="0" xfId="0" applyFont="1" applyAlignment="1">
      <alignment vertical="center" wrapText="1"/>
    </xf>
    <xf numFmtId="3" fontId="5" fillId="10" borderId="0" xfId="0" applyNumberFormat="1" applyFont="1" applyFill="1" applyBorder="1" applyAlignment="1">
      <alignment horizontal="left" wrapText="1"/>
    </xf>
    <xf numFmtId="167" fontId="5" fillId="10" borderId="0" xfId="0" applyNumberFormat="1" applyFont="1" applyFill="1" applyBorder="1" applyAlignment="1">
      <alignment horizontal="left" wrapText="1"/>
    </xf>
    <xf numFmtId="2" fontId="13" fillId="10" borderId="0" xfId="2" applyNumberFormat="1" applyFont="1" applyFill="1" applyBorder="1" applyAlignment="1">
      <alignment horizontal="left" wrapText="1"/>
    </xf>
    <xf numFmtId="165" fontId="4" fillId="0" borderId="0" xfId="0" applyNumberFormat="1" applyFont="1" applyFill="1" applyBorder="1"/>
    <xf numFmtId="0" fontId="4" fillId="4" borderId="0" xfId="0" applyFont="1" applyFill="1"/>
    <xf numFmtId="0" fontId="4" fillId="0" borderId="0" xfId="0" applyFont="1" applyFill="1" applyBorder="1" applyAlignment="1">
      <alignment wrapText="1"/>
    </xf>
    <xf numFmtId="3" fontId="44" fillId="0" borderId="0" xfId="0" applyNumberFormat="1" applyFont="1" applyFill="1" applyBorder="1" applyAlignment="1">
      <alignment horizontal="center"/>
    </xf>
    <xf numFmtId="0" fontId="44" fillId="0" borderId="0" xfId="0" applyFont="1" applyFill="1" applyBorder="1"/>
    <xf numFmtId="0" fontId="44" fillId="0" borderId="0" xfId="0" applyFont="1" applyFill="1" applyBorder="1" applyAlignment="1">
      <alignment horizontal="center"/>
    </xf>
    <xf numFmtId="165" fontId="44" fillId="0" borderId="0" xfId="0" applyNumberFormat="1" applyFont="1" applyFill="1" applyBorder="1" applyAlignment="1">
      <alignment horizontal="center"/>
    </xf>
    <xf numFmtId="0" fontId="44" fillId="0" borderId="0" xfId="0" applyFont="1" applyFill="1" applyBorder="1" applyAlignment="1">
      <alignment wrapText="1"/>
    </xf>
    <xf numFmtId="0" fontId="44" fillId="0" borderId="6" xfId="0" applyFont="1" applyFill="1" applyBorder="1"/>
    <xf numFmtId="0" fontId="44" fillId="0" borderId="6" xfId="0" applyFont="1" applyFill="1" applyBorder="1" applyAlignment="1">
      <alignment wrapText="1"/>
    </xf>
    <xf numFmtId="9" fontId="44" fillId="0" borderId="6" xfId="0" applyNumberFormat="1" applyFont="1" applyFill="1" applyBorder="1" applyAlignment="1">
      <alignment wrapText="1"/>
    </xf>
    <xf numFmtId="10" fontId="13" fillId="0" borderId="6" xfId="0" applyNumberFormat="1" applyFont="1" applyFill="1" applyBorder="1" applyAlignment="1">
      <alignment horizontal="left" wrapText="1"/>
    </xf>
    <xf numFmtId="0" fontId="13" fillId="0" borderId="6" xfId="0" applyFont="1" applyFill="1" applyBorder="1" applyAlignment="1">
      <alignment horizontal="left" wrapText="1"/>
    </xf>
    <xf numFmtId="0" fontId="13" fillId="0" borderId="6" xfId="0" applyFont="1" applyBorder="1"/>
    <xf numFmtId="3" fontId="44" fillId="0" borderId="6" xfId="0" applyNumberFormat="1" applyFont="1" applyFill="1" applyBorder="1" applyAlignment="1">
      <alignment horizontal="left" wrapText="1"/>
    </xf>
    <xf numFmtId="9" fontId="44" fillId="0" borderId="6" xfId="0" applyNumberFormat="1" applyFont="1" applyFill="1" applyBorder="1" applyAlignment="1">
      <alignment horizontal="left" wrapText="1"/>
    </xf>
    <xf numFmtId="0" fontId="13" fillId="0" borderId="0" xfId="0" applyFont="1" applyFill="1" applyBorder="1" applyAlignment="1">
      <alignment wrapText="1"/>
    </xf>
    <xf numFmtId="9" fontId="44" fillId="0" borderId="6" xfId="1" applyFont="1" applyFill="1" applyBorder="1" applyAlignment="1">
      <alignment horizontal="left" wrapText="1"/>
    </xf>
    <xf numFmtId="0" fontId="13" fillId="0" borderId="0" xfId="0" applyFont="1" applyFill="1" applyBorder="1" applyAlignment="1">
      <alignment horizontal="left" wrapText="1"/>
    </xf>
    <xf numFmtId="3" fontId="44" fillId="0" borderId="0" xfId="0" applyNumberFormat="1" applyFont="1" applyFill="1" applyBorder="1" applyAlignment="1">
      <alignment horizontal="left" wrapText="1"/>
    </xf>
    <xf numFmtId="0" fontId="13" fillId="0" borderId="0" xfId="4" applyFont="1" applyFill="1" applyBorder="1" applyAlignment="1">
      <alignment wrapText="1"/>
    </xf>
    <xf numFmtId="10" fontId="44" fillId="0" borderId="0" xfId="0" applyNumberFormat="1" applyFont="1" applyFill="1" applyBorder="1" applyAlignment="1">
      <alignment wrapText="1"/>
    </xf>
    <xf numFmtId="0" fontId="44" fillId="0" borderId="3" xfId="0" applyFont="1" applyBorder="1" applyAlignment="1">
      <alignment wrapText="1"/>
    </xf>
    <xf numFmtId="0" fontId="44" fillId="0" borderId="3" xfId="0" applyFont="1" applyFill="1" applyBorder="1" applyAlignment="1">
      <alignment wrapText="1"/>
    </xf>
    <xf numFmtId="10" fontId="13" fillId="0" borderId="3" xfId="0" applyNumberFormat="1" applyFont="1" applyFill="1" applyBorder="1" applyAlignment="1">
      <alignment wrapText="1"/>
    </xf>
    <xf numFmtId="3" fontId="44" fillId="0" borderId="3" xfId="1" applyNumberFormat="1" applyFont="1" applyFill="1" applyBorder="1" applyAlignment="1">
      <alignment wrapText="1"/>
    </xf>
    <xf numFmtId="9" fontId="44" fillId="0" borderId="3" xfId="0" applyNumberFormat="1" applyFont="1" applyFill="1" applyBorder="1" applyAlignment="1">
      <alignment wrapText="1"/>
    </xf>
    <xf numFmtId="0" fontId="0" fillId="0" borderId="0" xfId="0" applyFill="1" applyAlignment="1">
      <alignment wrapText="1"/>
    </xf>
    <xf numFmtId="0" fontId="0" fillId="0" borderId="0" xfId="0" applyFill="1" applyBorder="1" applyAlignment="1"/>
    <xf numFmtId="0" fontId="18" fillId="0" borderId="0" xfId="0" applyFont="1" applyAlignment="1"/>
    <xf numFmtId="9" fontId="44" fillId="0" borderId="0" xfId="0" applyNumberFormat="1" applyFont="1" applyFill="1" applyBorder="1" applyAlignment="1">
      <alignment horizontal="center"/>
    </xf>
    <xf numFmtId="0" fontId="13" fillId="0" borderId="6" xfId="0" applyFont="1" applyFill="1" applyBorder="1" applyAlignment="1">
      <alignment wrapText="1"/>
    </xf>
    <xf numFmtId="10" fontId="49" fillId="6" borderId="9" xfId="0" applyNumberFormat="1" applyFont="1" applyFill="1" applyBorder="1" applyAlignment="1">
      <alignment wrapText="1"/>
    </xf>
    <xf numFmtId="9" fontId="0" fillId="0" borderId="0" xfId="0" applyNumberFormat="1" applyFill="1" applyBorder="1" applyAlignment="1">
      <alignment wrapText="1"/>
    </xf>
    <xf numFmtId="0" fontId="13" fillId="41" borderId="6" xfId="0" applyFont="1" applyFill="1" applyBorder="1" applyAlignment="1">
      <alignment vertical="center" wrapText="1"/>
    </xf>
    <xf numFmtId="10" fontId="49" fillId="0" borderId="0" xfId="0" applyNumberFormat="1" applyFont="1" applyFill="1" applyBorder="1" applyAlignment="1"/>
    <xf numFmtId="10" fontId="13" fillId="0" borderId="0" xfId="0" applyNumberFormat="1" applyFont="1" applyFill="1" applyBorder="1" applyAlignment="1">
      <alignment horizontal="center" wrapText="1"/>
    </xf>
    <xf numFmtId="3" fontId="4" fillId="0" borderId="0" xfId="0" applyNumberFormat="1" applyFont="1" applyFill="1" applyBorder="1" applyAlignment="1">
      <alignment horizontal="center" wrapText="1"/>
    </xf>
    <xf numFmtId="3" fontId="10" fillId="0" borderId="0" xfId="1" applyNumberFormat="1" applyFont="1" applyFill="1" applyBorder="1" applyAlignment="1">
      <alignment horizontal="center" wrapText="1"/>
    </xf>
    <xf numFmtId="9" fontId="4" fillId="0" borderId="0" xfId="0" applyNumberFormat="1" applyFont="1" applyFill="1" applyBorder="1" applyAlignment="1">
      <alignment horizontal="center" wrapText="1"/>
    </xf>
    <xf numFmtId="9" fontId="2" fillId="0" borderId="0" xfId="4" applyNumberFormat="1" applyFill="1" applyBorder="1" applyAlignment="1">
      <alignment wrapText="1"/>
    </xf>
    <xf numFmtId="0" fontId="4" fillId="0" borderId="0" xfId="0" applyFont="1" applyFill="1" applyBorder="1" applyAlignment="1">
      <alignment horizontal="center"/>
    </xf>
    <xf numFmtId="0" fontId="4" fillId="0" borderId="0" xfId="0" applyFont="1" applyAlignment="1">
      <alignment horizontal="center"/>
    </xf>
    <xf numFmtId="9" fontId="13" fillId="0" borderId="6" xfId="0" applyNumberFormat="1" applyFont="1" applyFill="1" applyBorder="1" applyAlignment="1">
      <alignment horizontal="center" wrapText="1"/>
    </xf>
    <xf numFmtId="10" fontId="13" fillId="0" borderId="6" xfId="0" applyNumberFormat="1" applyFont="1" applyFill="1" applyBorder="1"/>
    <xf numFmtId="9" fontId="13" fillId="0" borderId="6" xfId="0" applyNumberFormat="1" applyFont="1" applyFill="1" applyBorder="1" applyAlignment="1">
      <alignment horizontal="center"/>
    </xf>
    <xf numFmtId="0" fontId="13" fillId="0" borderId="6" xfId="0" applyFont="1" applyFill="1" applyBorder="1"/>
    <xf numFmtId="0" fontId="13" fillId="5" borderId="6" xfId="0" applyFont="1" applyFill="1" applyBorder="1" applyAlignment="1">
      <alignment horizontal="left" wrapText="1"/>
    </xf>
    <xf numFmtId="10" fontId="13" fillId="0" borderId="6" xfId="0" applyNumberFormat="1" applyFont="1" applyFill="1" applyBorder="1" applyAlignment="1"/>
    <xf numFmtId="10" fontId="13" fillId="0" borderId="6" xfId="0" applyNumberFormat="1" applyFont="1" applyFill="1" applyBorder="1" applyAlignment="1">
      <alignment wrapText="1"/>
    </xf>
    <xf numFmtId="3" fontId="13" fillId="0" borderId="6" xfId="0" applyNumberFormat="1" applyFont="1" applyFill="1" applyBorder="1" applyAlignment="1">
      <alignment horizontal="center"/>
    </xf>
    <xf numFmtId="0" fontId="13" fillId="0" borderId="6" xfId="0" applyFont="1" applyFill="1" applyBorder="1" applyAlignment="1"/>
    <xf numFmtId="9" fontId="13" fillId="0" borderId="6" xfId="1" applyFont="1" applyFill="1" applyBorder="1" applyAlignment="1">
      <alignment horizontal="center"/>
    </xf>
    <xf numFmtId="0" fontId="7" fillId="0" borderId="0" xfId="0" applyFont="1" applyFill="1" applyBorder="1" applyAlignment="1">
      <alignment horizontal="center" vertical="center" textRotation="255" wrapText="1"/>
    </xf>
    <xf numFmtId="0" fontId="0" fillId="0" borderId="6" xfId="0" applyBorder="1"/>
    <xf numFmtId="0" fontId="6" fillId="8" borderId="0" xfId="0" applyFont="1" applyFill="1" applyBorder="1" applyAlignment="1">
      <alignment horizontal="center" wrapText="1"/>
    </xf>
    <xf numFmtId="0" fontId="51" fillId="0" borderId="6" xfId="0" applyFont="1" applyBorder="1"/>
    <xf numFmtId="3" fontId="0" fillId="0" borderId="6" xfId="0" applyNumberFormat="1" applyBorder="1"/>
    <xf numFmtId="165" fontId="0" fillId="0" borderId="6" xfId="0" applyNumberFormat="1" applyBorder="1"/>
    <xf numFmtId="3" fontId="51" fillId="0" borderId="6" xfId="0" applyNumberFormat="1" applyFont="1" applyBorder="1"/>
    <xf numFmtId="165" fontId="51" fillId="0" borderId="6" xfId="0" applyNumberFormat="1" applyFont="1" applyBorder="1"/>
    <xf numFmtId="0" fontId="46" fillId="0" borderId="0" xfId="0" applyFont="1" applyAlignment="1">
      <alignment wrapText="1"/>
    </xf>
    <xf numFmtId="10" fontId="49" fillId="6" borderId="6" xfId="0" applyNumberFormat="1" applyFont="1" applyFill="1" applyBorder="1" applyAlignment="1">
      <alignment wrapText="1"/>
    </xf>
    <xf numFmtId="3" fontId="13" fillId="5" borderId="6" xfId="0" applyNumberFormat="1" applyFont="1" applyFill="1" applyBorder="1" applyAlignment="1">
      <alignment horizontal="center" wrapText="1"/>
    </xf>
    <xf numFmtId="3" fontId="13" fillId="0" borderId="6" xfId="0" applyNumberFormat="1" applyFont="1" applyFill="1" applyBorder="1" applyAlignment="1">
      <alignment horizontal="center" wrapText="1"/>
    </xf>
    <xf numFmtId="10" fontId="49" fillId="6" borderId="6" xfId="0" applyNumberFormat="1" applyFont="1" applyFill="1" applyBorder="1" applyAlignment="1"/>
    <xf numFmtId="0" fontId="13" fillId="2" borderId="6" xfId="0" applyFont="1" applyFill="1" applyBorder="1" applyAlignment="1">
      <alignment horizontal="center" wrapText="1"/>
    </xf>
    <xf numFmtId="0" fontId="5" fillId="2" borderId="6" xfId="0" applyFont="1" applyFill="1" applyBorder="1" applyAlignment="1">
      <alignment horizontal="center" wrapText="1"/>
    </xf>
    <xf numFmtId="0" fontId="6" fillId="0" borderId="6" xfId="0" applyFont="1" applyFill="1" applyBorder="1"/>
    <xf numFmtId="3" fontId="6" fillId="0" borderId="6" xfId="0" applyNumberFormat="1" applyFont="1" applyFill="1" applyBorder="1"/>
    <xf numFmtId="3" fontId="40" fillId="0" borderId="6" xfId="0" applyNumberFormat="1" applyFont="1" applyFill="1" applyBorder="1" applyAlignment="1">
      <alignment horizontal="center"/>
    </xf>
    <xf numFmtId="3" fontId="40" fillId="0" borderId="6" xfId="1" applyNumberFormat="1" applyFont="1" applyFill="1" applyBorder="1" applyAlignment="1">
      <alignment horizontal="center"/>
    </xf>
    <xf numFmtId="4" fontId="13" fillId="0" borderId="6" xfId="0" applyNumberFormat="1" applyFont="1" applyBorder="1" applyAlignment="1">
      <alignment horizontal="center"/>
    </xf>
    <xf numFmtId="9" fontId="13" fillId="0" borderId="6" xfId="0" applyNumberFormat="1" applyFont="1" applyBorder="1" applyAlignment="1">
      <alignment horizontal="center"/>
    </xf>
    <xf numFmtId="168" fontId="13" fillId="41" borderId="6" xfId="0" applyNumberFormat="1" applyFont="1" applyFill="1" applyBorder="1" applyAlignment="1">
      <alignment vertical="center" wrapText="1"/>
    </xf>
    <xf numFmtId="9" fontId="5" fillId="0" borderId="6" xfId="0" applyNumberFormat="1" applyFont="1" applyFill="1" applyBorder="1" applyAlignment="1">
      <alignment vertical="center" wrapText="1"/>
    </xf>
    <xf numFmtId="9" fontId="13" fillId="10" borderId="0" xfId="2" applyNumberFormat="1" applyFont="1" applyFill="1" applyBorder="1" applyAlignment="1">
      <alignment horizontal="left" wrapText="1"/>
    </xf>
    <xf numFmtId="0" fontId="52" fillId="0" borderId="0" xfId="94"/>
    <xf numFmtId="0" fontId="52" fillId="0" borderId="12" xfId="94" applyBorder="1" applyAlignment="1">
      <alignment horizontal="center"/>
    </xf>
    <xf numFmtId="9" fontId="0" fillId="0" borderId="0" xfId="95" applyFont="1"/>
    <xf numFmtId="3" fontId="52" fillId="0" borderId="0" xfId="94" applyNumberFormat="1"/>
    <xf numFmtId="0" fontId="52" fillId="0" borderId="0" xfId="94" applyAlignment="1">
      <alignment horizontal="right" wrapText="1"/>
    </xf>
    <xf numFmtId="0" fontId="54" fillId="0" borderId="0" xfId="0" applyFont="1"/>
    <xf numFmtId="0" fontId="44" fillId="0" borderId="30" xfId="94" applyFont="1" applyFill="1" applyBorder="1" applyAlignment="1">
      <alignment wrapText="1"/>
    </xf>
    <xf numFmtId="0" fontId="0" fillId="0" borderId="30" xfId="0" applyBorder="1"/>
    <xf numFmtId="10" fontId="44" fillId="0" borderId="0" xfId="94" applyNumberFormat="1" applyFont="1" applyFill="1" applyBorder="1" applyAlignment="1">
      <alignment wrapText="1"/>
    </xf>
    <xf numFmtId="164" fontId="0" fillId="0" borderId="0" xfId="0" applyNumberFormat="1"/>
    <xf numFmtId="165" fontId="0" fillId="0" borderId="0" xfId="0" applyNumberFormat="1"/>
    <xf numFmtId="0" fontId="0" fillId="0" borderId="0" xfId="0" pivotButton="1"/>
    <xf numFmtId="0" fontId="0" fillId="0" borderId="0" xfId="0" applyNumberFormat="1"/>
    <xf numFmtId="0" fontId="39" fillId="8" borderId="0" xfId="0" applyFont="1" applyFill="1" applyBorder="1" applyAlignment="1">
      <alignment vertical="center"/>
    </xf>
    <xf numFmtId="3" fontId="51" fillId="0" borderId="13" xfId="0" applyNumberFormat="1" applyFont="1" applyBorder="1"/>
    <xf numFmtId="9" fontId="51" fillId="0" borderId="13" xfId="0" applyNumberFormat="1" applyFont="1" applyBorder="1"/>
    <xf numFmtId="165" fontId="51" fillId="0" borderId="13" xfId="0" applyNumberFormat="1" applyFont="1" applyBorder="1"/>
    <xf numFmtId="0" fontId="51" fillId="0" borderId="0" xfId="0" applyFont="1" applyBorder="1" applyAlignment="1">
      <alignment horizontal="right"/>
    </xf>
    <xf numFmtId="3" fontId="51" fillId="0" borderId="13" xfId="0" applyNumberFormat="1" applyFont="1" applyBorder="1" applyAlignment="1">
      <alignment horizontal="right"/>
    </xf>
    <xf numFmtId="3" fontId="50" fillId="0" borderId="6" xfId="0" applyNumberFormat="1" applyFont="1" applyBorder="1" applyAlignment="1">
      <alignment horizontal="right" wrapText="1"/>
    </xf>
    <xf numFmtId="9" fontId="50" fillId="0" borderId="6" xfId="0" applyNumberFormat="1" applyFont="1" applyBorder="1" applyAlignment="1">
      <alignment horizontal="right" wrapText="1"/>
    </xf>
    <xf numFmtId="0" fontId="0" fillId="0" borderId="0" xfId="0" applyBorder="1" applyAlignment="1">
      <alignment horizontal="center" wrapText="1"/>
    </xf>
    <xf numFmtId="0" fontId="0" fillId="0" borderId="0" xfId="0" applyFill="1" applyBorder="1" applyAlignment="1">
      <alignment horizontal="center" wrapText="1"/>
    </xf>
    <xf numFmtId="9" fontId="50" fillId="0" borderId="0" xfId="0" applyNumberFormat="1" applyFont="1" applyBorder="1" applyAlignment="1">
      <alignment horizontal="right" wrapText="1"/>
    </xf>
    <xf numFmtId="3" fontId="50" fillId="0" borderId="29" xfId="0" applyNumberFormat="1" applyFont="1" applyBorder="1" applyAlignment="1">
      <alignment horizontal="right" wrapText="1"/>
    </xf>
    <xf numFmtId="9" fontId="50" fillId="0" borderId="29" xfId="0" applyNumberFormat="1" applyFont="1" applyBorder="1" applyAlignment="1">
      <alignment horizontal="right" wrapText="1"/>
    </xf>
    <xf numFmtId="0" fontId="50" fillId="0" borderId="6" xfId="0" applyFont="1" applyBorder="1" applyAlignment="1">
      <alignment wrapText="1"/>
    </xf>
    <xf numFmtId="165" fontId="50" fillId="0" borderId="6" xfId="0" applyNumberFormat="1" applyFont="1" applyBorder="1" applyAlignment="1">
      <alignment horizontal="right" wrapText="1"/>
    </xf>
    <xf numFmtId="166" fontId="51" fillId="0" borderId="13" xfId="0" applyNumberFormat="1" applyFont="1" applyBorder="1"/>
    <xf numFmtId="2" fontId="0" fillId="0" borderId="0" xfId="0" applyNumberFormat="1" applyAlignment="1">
      <alignment horizontal="left"/>
    </xf>
    <xf numFmtId="0" fontId="52" fillId="0" borderId="0" xfId="94" applyFill="1" applyBorder="1" applyAlignment="1">
      <alignment horizontal="center"/>
    </xf>
    <xf numFmtId="164" fontId="52" fillId="0" borderId="0" xfId="94" applyNumberFormat="1"/>
    <xf numFmtId="10" fontId="49" fillId="6" borderId="6" xfId="0" applyNumberFormat="1" applyFont="1" applyFill="1" applyBorder="1" applyAlignment="1">
      <alignment horizontal="center" wrapText="1"/>
    </xf>
    <xf numFmtId="3" fontId="55" fillId="0" borderId="6" xfId="0" applyNumberFormat="1" applyFont="1" applyBorder="1"/>
    <xf numFmtId="10" fontId="55" fillId="0" borderId="6" xfId="0" applyNumberFormat="1" applyFont="1" applyBorder="1"/>
    <xf numFmtId="10" fontId="56" fillId="0" borderId="0" xfId="0" applyNumberFormat="1" applyFont="1"/>
    <xf numFmtId="165" fontId="55" fillId="0" borderId="6" xfId="0" applyNumberFormat="1" applyFont="1" applyBorder="1"/>
    <xf numFmtId="6" fontId="56" fillId="0" borderId="0" xfId="0" applyNumberFormat="1" applyFont="1"/>
    <xf numFmtId="0" fontId="55" fillId="0" borderId="6" xfId="0" applyFont="1" applyBorder="1"/>
    <xf numFmtId="10" fontId="56" fillId="0" borderId="0" xfId="0" applyNumberFormat="1" applyFont="1" applyAlignment="1">
      <alignment horizontal="center"/>
    </xf>
    <xf numFmtId="3" fontId="5" fillId="0" borderId="6" xfId="0" applyNumberFormat="1" applyFont="1" applyFill="1" applyBorder="1" applyAlignment="1">
      <alignment horizontal="center"/>
    </xf>
    <xf numFmtId="0" fontId="17" fillId="8" borderId="0" xfId="0" applyFont="1" applyFill="1" applyBorder="1" applyAlignment="1">
      <alignment horizontal="right" vertical="center"/>
    </xf>
    <xf numFmtId="0" fontId="0" fillId="0" borderId="0" xfId="0" applyBorder="1" applyAlignment="1">
      <alignment wrapText="1"/>
    </xf>
    <xf numFmtId="0" fontId="39" fillId="0" borderId="0" xfId="0" applyFont="1" applyFill="1" applyBorder="1" applyAlignment="1"/>
    <xf numFmtId="0" fontId="58" fillId="0" borderId="0" xfId="0" applyFont="1" applyAlignment="1">
      <alignment wrapText="1"/>
    </xf>
    <xf numFmtId="0" fontId="7" fillId="0" borderId="0" xfId="0" applyFont="1" applyFill="1" applyBorder="1" applyAlignment="1"/>
    <xf numFmtId="0" fontId="7" fillId="0" borderId="0" xfId="0" applyFont="1" applyFill="1" applyBorder="1" applyAlignment="1">
      <alignment vertical="center"/>
    </xf>
    <xf numFmtId="0" fontId="0" fillId="0" borderId="0" xfId="0" applyFill="1" applyBorder="1" applyAlignment="1">
      <alignment horizontal="center"/>
    </xf>
    <xf numFmtId="0" fontId="18" fillId="0" borderId="0" xfId="0" applyFont="1" applyBorder="1" applyAlignment="1">
      <alignment horizontal="center"/>
    </xf>
    <xf numFmtId="3" fontId="57" fillId="0" borderId="0" xfId="0" applyNumberFormat="1" applyFont="1" applyFill="1" applyBorder="1" applyAlignment="1">
      <alignment wrapText="1"/>
    </xf>
    <xf numFmtId="3" fontId="8" fillId="44" borderId="0" xfId="0" applyNumberFormat="1" applyFont="1" applyFill="1" applyBorder="1" applyAlignment="1">
      <alignment wrapText="1"/>
    </xf>
    <xf numFmtId="3" fontId="8" fillId="0" borderId="0" xfId="0" applyNumberFormat="1" applyFont="1" applyFill="1" applyBorder="1" applyAlignment="1">
      <alignment wrapText="1"/>
    </xf>
    <xf numFmtId="165" fontId="8" fillId="44" borderId="0" xfId="0" applyNumberFormat="1" applyFont="1" applyFill="1" applyBorder="1" applyAlignment="1">
      <alignment wrapText="1"/>
    </xf>
    <xf numFmtId="0" fontId="6" fillId="8" borderId="0" xfId="0" applyFont="1" applyFill="1" applyBorder="1" applyAlignment="1">
      <alignment horizontal="center" wrapText="1"/>
    </xf>
    <xf numFmtId="0" fontId="11" fillId="0" borderId="0" xfId="2"/>
    <xf numFmtId="0" fontId="11" fillId="0" borderId="0" xfId="2" applyAlignment="1">
      <alignment horizontal="left"/>
    </xf>
    <xf numFmtId="0" fontId="18" fillId="0" borderId="0" xfId="0" applyFont="1" applyBorder="1" applyAlignment="1">
      <alignment horizontal="center"/>
    </xf>
    <xf numFmtId="3" fontId="13" fillId="0" borderId="6" xfId="1" applyNumberFormat="1" applyFont="1" applyFill="1" applyBorder="1" applyAlignment="1">
      <alignment horizontal="center"/>
    </xf>
    <xf numFmtId="0" fontId="6" fillId="0" borderId="6" xfId="4" applyFont="1" applyFill="1" applyBorder="1" applyAlignment="1">
      <alignment wrapText="1"/>
    </xf>
    <xf numFmtId="3" fontId="6" fillId="0" borderId="6" xfId="4" applyNumberFormat="1" applyFont="1" applyFill="1" applyBorder="1" applyAlignment="1">
      <alignment wrapText="1"/>
    </xf>
    <xf numFmtId="0" fontId="6" fillId="0" borderId="6" xfId="0" applyFont="1" applyFill="1" applyBorder="1" applyAlignment="1">
      <alignment wrapText="1"/>
    </xf>
    <xf numFmtId="3" fontId="6" fillId="0" borderId="6" xfId="0" applyNumberFormat="1" applyFont="1" applyFill="1" applyBorder="1" applyAlignment="1">
      <alignment wrapText="1"/>
    </xf>
    <xf numFmtId="3" fontId="40" fillId="0" borderId="6" xfId="0" applyNumberFormat="1" applyFont="1" applyFill="1" applyBorder="1" applyAlignment="1">
      <alignment horizontal="center" wrapText="1"/>
    </xf>
    <xf numFmtId="3" fontId="6" fillId="0" borderId="6" xfId="4" applyNumberFormat="1" applyFont="1" applyFill="1" applyBorder="1"/>
    <xf numFmtId="165" fontId="50" fillId="0" borderId="7" xfId="0" applyNumberFormat="1" applyFont="1" applyBorder="1" applyAlignment="1">
      <alignment horizontal="right" wrapText="1"/>
    </xf>
    <xf numFmtId="166" fontId="44" fillId="0" borderId="0" xfId="0" applyNumberFormat="1" applyFont="1" applyFill="1" applyBorder="1" applyAlignment="1">
      <alignment wrapText="1"/>
    </xf>
    <xf numFmtId="166" fontId="0" fillId="0" borderId="0" xfId="0" applyNumberFormat="1"/>
    <xf numFmtId="0" fontId="7" fillId="0" borderId="0" xfId="0" applyFont="1" applyBorder="1" applyAlignment="1">
      <alignment horizontal="center"/>
    </xf>
    <xf numFmtId="0" fontId="7" fillId="0" borderId="0" xfId="0" applyFont="1" applyFill="1" applyBorder="1" applyAlignment="1">
      <alignment horizontal="center"/>
    </xf>
    <xf numFmtId="0" fontId="59" fillId="0" borderId="0" xfId="0" applyFont="1"/>
    <xf numFmtId="0" fontId="59" fillId="0" borderId="0" xfId="0" applyFont="1" applyAlignment="1">
      <alignment wrapText="1"/>
    </xf>
    <xf numFmtId="0" fontId="59" fillId="0" borderId="0" xfId="0" applyFont="1" applyAlignment="1"/>
    <xf numFmtId="10" fontId="61" fillId="6" borderId="9" xfId="0" applyNumberFormat="1" applyFont="1" applyFill="1" applyBorder="1" applyAlignment="1">
      <alignment wrapText="1"/>
    </xf>
    <xf numFmtId="0" fontId="59" fillId="0" borderId="0" xfId="0" applyFont="1" applyFill="1" applyBorder="1"/>
    <xf numFmtId="3" fontId="60" fillId="0" borderId="6" xfId="0" applyNumberFormat="1" applyFont="1" applyFill="1" applyBorder="1" applyAlignment="1">
      <alignment horizontal="center" wrapText="1"/>
    </xf>
    <xf numFmtId="0" fontId="59" fillId="0" borderId="0" xfId="0" applyFont="1" applyFill="1" applyBorder="1" applyAlignment="1">
      <alignment wrapText="1"/>
    </xf>
    <xf numFmtId="10" fontId="62" fillId="0" borderId="6" xfId="0" applyNumberFormat="1" applyFont="1" applyFill="1" applyBorder="1"/>
    <xf numFmtId="3" fontId="62" fillId="0" borderId="6" xfId="0" applyNumberFormat="1" applyFont="1" applyFill="1" applyBorder="1" applyAlignment="1">
      <alignment horizontal="center"/>
    </xf>
    <xf numFmtId="9" fontId="62" fillId="0" borderId="6" xfId="0" applyNumberFormat="1" applyFont="1" applyFill="1" applyBorder="1" applyAlignment="1">
      <alignment horizontal="center"/>
    </xf>
    <xf numFmtId="0" fontId="62" fillId="0" borderId="6" xfId="0" applyFont="1" applyFill="1" applyBorder="1"/>
    <xf numFmtId="10" fontId="61" fillId="6" borderId="6" xfId="0" applyNumberFormat="1" applyFont="1" applyFill="1" applyBorder="1" applyAlignment="1">
      <alignment wrapText="1"/>
    </xf>
    <xf numFmtId="3" fontId="59" fillId="0" borderId="0" xfId="0" applyNumberFormat="1" applyFont="1" applyFill="1" applyBorder="1" applyAlignment="1">
      <alignment wrapText="1"/>
    </xf>
    <xf numFmtId="1" fontId="62" fillId="0" borderId="6" xfId="0" applyNumberFormat="1" applyFont="1" applyFill="1" applyBorder="1" applyAlignment="1">
      <alignment horizontal="center"/>
    </xf>
    <xf numFmtId="0" fontId="62" fillId="5" borderId="6" xfId="0" applyFont="1" applyFill="1" applyBorder="1" applyAlignment="1">
      <alignment horizontal="left" wrapText="1"/>
    </xf>
    <xf numFmtId="3" fontId="62" fillId="5" borderId="6" xfId="0" applyNumberFormat="1" applyFont="1" applyFill="1" applyBorder="1" applyAlignment="1">
      <alignment horizontal="center" wrapText="1"/>
    </xf>
    <xf numFmtId="10" fontId="61" fillId="0" borderId="0" xfId="0" applyNumberFormat="1" applyFont="1" applyFill="1" applyBorder="1" applyAlignment="1"/>
    <xf numFmtId="0" fontId="62" fillId="0" borderId="6" xfId="0" applyFont="1" applyFill="1" applyBorder="1" applyAlignment="1">
      <alignment wrapText="1"/>
    </xf>
    <xf numFmtId="3" fontId="62" fillId="0" borderId="6" xfId="0" applyNumberFormat="1" applyFont="1" applyFill="1" applyBorder="1" applyAlignment="1">
      <alignment horizontal="center" wrapText="1"/>
    </xf>
    <xf numFmtId="9" fontId="62" fillId="0" borderId="6" xfId="0" applyNumberFormat="1" applyFont="1" applyFill="1" applyBorder="1" applyAlignment="1">
      <alignment horizontal="center" wrapText="1"/>
    </xf>
    <xf numFmtId="10" fontId="62" fillId="0" borderId="6" xfId="0" applyNumberFormat="1" applyFont="1" applyFill="1" applyBorder="1" applyAlignment="1"/>
    <xf numFmtId="10" fontId="62" fillId="0" borderId="6" xfId="0" applyNumberFormat="1" applyFont="1" applyFill="1" applyBorder="1" applyAlignment="1">
      <alignment wrapText="1"/>
    </xf>
    <xf numFmtId="3" fontId="59" fillId="0" borderId="0" xfId="0" applyNumberFormat="1" applyFont="1" applyFill="1" applyBorder="1"/>
    <xf numFmtId="165" fontId="59" fillId="0" borderId="0" xfId="0" applyNumberFormat="1" applyFont="1" applyFill="1" applyBorder="1"/>
    <xf numFmtId="10" fontId="61" fillId="6" borderId="6" xfId="0" applyNumberFormat="1" applyFont="1" applyFill="1" applyBorder="1" applyAlignment="1"/>
    <xf numFmtId="0" fontId="62" fillId="2" borderId="6" xfId="0" applyFont="1" applyFill="1" applyBorder="1" applyAlignment="1">
      <alignment horizontal="center" wrapText="1"/>
    </xf>
    <xf numFmtId="0" fontId="63" fillId="2" borderId="6" xfId="0" applyFont="1" applyFill="1" applyBorder="1" applyAlignment="1">
      <alignment horizontal="center" wrapText="1"/>
    </xf>
    <xf numFmtId="10" fontId="61" fillId="6" borderId="6" xfId="0" applyNumberFormat="1" applyFont="1" applyFill="1" applyBorder="1" applyAlignment="1">
      <alignment horizontal="center" wrapText="1"/>
    </xf>
    <xf numFmtId="3" fontId="60" fillId="0" borderId="6" xfId="0" applyNumberFormat="1" applyFont="1" applyFill="1" applyBorder="1" applyAlignment="1">
      <alignment wrapText="1"/>
    </xf>
    <xf numFmtId="3" fontId="59" fillId="0" borderId="0" xfId="0" applyNumberFormat="1" applyFont="1"/>
    <xf numFmtId="0" fontId="62" fillId="0" borderId="6" xfId="0" applyFont="1" applyFill="1" applyBorder="1" applyAlignment="1">
      <alignment horizontal="left" wrapText="1"/>
    </xf>
    <xf numFmtId="0" fontId="62" fillId="0" borderId="6" xfId="0" applyFont="1" applyFill="1" applyBorder="1" applyAlignment="1"/>
    <xf numFmtId="3" fontId="60" fillId="0" borderId="6" xfId="0" applyNumberFormat="1" applyFont="1" applyFill="1" applyBorder="1"/>
    <xf numFmtId="3" fontId="60" fillId="0" borderId="6" xfId="0" applyNumberFormat="1" applyFont="1" applyFill="1" applyBorder="1" applyAlignment="1">
      <alignment horizontal="center"/>
    </xf>
    <xf numFmtId="3" fontId="60" fillId="0" borderId="6" xfId="1" applyNumberFormat="1" applyFont="1" applyFill="1" applyBorder="1" applyAlignment="1">
      <alignment horizontal="center"/>
    </xf>
    <xf numFmtId="3" fontId="60" fillId="0" borderId="6" xfId="4" applyNumberFormat="1" applyFont="1" applyFill="1" applyBorder="1" applyAlignment="1">
      <alignment wrapText="1"/>
    </xf>
    <xf numFmtId="9" fontId="62" fillId="0" borderId="6" xfId="1" applyFont="1" applyFill="1" applyBorder="1" applyAlignment="1">
      <alignment horizontal="center"/>
    </xf>
    <xf numFmtId="166" fontId="62" fillId="0" borderId="6" xfId="1" applyNumberFormat="1" applyFont="1" applyFill="1" applyBorder="1" applyAlignment="1">
      <alignment horizontal="center"/>
    </xf>
    <xf numFmtId="3" fontId="60" fillId="0" borderId="6" xfId="4" applyNumberFormat="1" applyFont="1" applyFill="1" applyBorder="1"/>
    <xf numFmtId="0" fontId="60" fillId="0" borderId="0" xfId="0" applyFont="1" applyFill="1" applyBorder="1"/>
    <xf numFmtId="6" fontId="59" fillId="0" borderId="0" xfId="0" applyNumberFormat="1" applyFont="1"/>
    <xf numFmtId="8" fontId="59" fillId="0" borderId="0" xfId="0" applyNumberFormat="1" applyFont="1"/>
    <xf numFmtId="0" fontId="62" fillId="0" borderId="6" xfId="0" applyFont="1" applyBorder="1"/>
    <xf numFmtId="4" fontId="62" fillId="0" borderId="6" xfId="0" applyNumberFormat="1" applyFont="1" applyBorder="1" applyAlignment="1">
      <alignment horizontal="center"/>
    </xf>
    <xf numFmtId="9" fontId="62" fillId="0" borderId="6" xfId="0" applyNumberFormat="1" applyFont="1" applyBorder="1" applyAlignment="1">
      <alignment horizontal="center"/>
    </xf>
    <xf numFmtId="0" fontId="62" fillId="41" borderId="6" xfId="0" applyFont="1" applyFill="1" applyBorder="1" applyAlignment="1">
      <alignment vertical="center" wrapText="1"/>
    </xf>
    <xf numFmtId="168" fontId="62" fillId="41" borderId="6" xfId="0" applyNumberFormat="1" applyFont="1" applyFill="1" applyBorder="1" applyAlignment="1">
      <alignment horizontal="center" vertical="center" wrapText="1"/>
    </xf>
    <xf numFmtId="9" fontId="63" fillId="0" borderId="6" xfId="0" applyNumberFormat="1" applyFont="1" applyFill="1" applyBorder="1" applyAlignment="1">
      <alignment vertical="center" wrapText="1"/>
    </xf>
    <xf numFmtId="10" fontId="62" fillId="0" borderId="0" xfId="0" applyNumberFormat="1" applyFont="1" applyFill="1" applyBorder="1" applyAlignment="1"/>
    <xf numFmtId="10" fontId="49" fillId="0" borderId="9" xfId="0" applyNumberFormat="1" applyFont="1" applyFill="1" applyBorder="1" applyAlignment="1">
      <alignment wrapText="1"/>
    </xf>
    <xf numFmtId="10" fontId="61" fillId="0" borderId="9" xfId="0" applyNumberFormat="1" applyFont="1" applyFill="1" applyBorder="1" applyAlignment="1">
      <alignment wrapText="1"/>
    </xf>
    <xf numFmtId="10" fontId="13" fillId="0" borderId="0" xfId="0" applyNumberFormat="1" applyFont="1" applyFill="1" applyBorder="1" applyAlignment="1"/>
    <xf numFmtId="3" fontId="62" fillId="0" borderId="6" xfId="0" applyNumberFormat="1" applyFont="1" applyBorder="1" applyAlignment="1">
      <alignment horizontal="center"/>
    </xf>
    <xf numFmtId="10" fontId="49" fillId="0" borderId="31" xfId="0" applyNumberFormat="1" applyFont="1" applyFill="1" applyBorder="1" applyAlignment="1">
      <alignment wrapText="1"/>
    </xf>
    <xf numFmtId="10" fontId="49" fillId="0" borderId="30" xfId="0" applyNumberFormat="1" applyFont="1" applyFill="1" applyBorder="1" applyAlignment="1">
      <alignment wrapText="1"/>
    </xf>
    <xf numFmtId="10" fontId="49" fillId="0" borderId="32" xfId="0" applyNumberFormat="1" applyFont="1" applyFill="1" applyBorder="1" applyAlignment="1">
      <alignment wrapText="1"/>
    </xf>
    <xf numFmtId="10" fontId="61" fillId="0" borderId="1" xfId="0" applyNumberFormat="1" applyFont="1" applyFill="1" applyBorder="1" applyAlignment="1">
      <alignment wrapText="1"/>
    </xf>
    <xf numFmtId="10" fontId="61" fillId="0" borderId="0" xfId="0" applyNumberFormat="1" applyFont="1" applyFill="1" applyBorder="1" applyAlignment="1">
      <alignment wrapText="1"/>
    </xf>
    <xf numFmtId="10" fontId="61" fillId="0" borderId="3" xfId="0" applyNumberFormat="1" applyFont="1" applyFill="1" applyBorder="1" applyAlignment="1">
      <alignment wrapText="1"/>
    </xf>
    <xf numFmtId="0" fontId="39" fillId="0" borderId="0" xfId="0" applyFont="1"/>
    <xf numFmtId="0" fontId="3" fillId="2" borderId="0" xfId="0" applyFont="1" applyFill="1"/>
    <xf numFmtId="3" fontId="62" fillId="0" borderId="0" xfId="0" applyNumberFormat="1" applyFont="1" applyFill="1" applyBorder="1" applyAlignment="1">
      <alignment horizontal="center"/>
    </xf>
    <xf numFmtId="9" fontId="62" fillId="0" borderId="0" xfId="0" applyNumberFormat="1" applyFont="1" applyFill="1" applyBorder="1" applyAlignment="1">
      <alignment horizontal="center"/>
    </xf>
    <xf numFmtId="0" fontId="3" fillId="2" borderId="0" xfId="0" applyFont="1" applyFill="1" applyAlignment="1">
      <alignment wrapText="1"/>
    </xf>
    <xf numFmtId="0" fontId="62" fillId="4" borderId="6" xfId="0" applyFont="1" applyFill="1" applyBorder="1" applyAlignment="1">
      <alignment wrapText="1"/>
    </xf>
    <xf numFmtId="9" fontId="62" fillId="0" borderId="6" xfId="1" applyFont="1" applyFill="1" applyBorder="1" applyAlignment="1">
      <alignment horizontal="center" wrapText="1"/>
    </xf>
    <xf numFmtId="164" fontId="62" fillId="0" borderId="6" xfId="0" applyNumberFormat="1" applyFont="1" applyFill="1" applyBorder="1" applyAlignment="1">
      <alignment horizontal="center" wrapText="1"/>
    </xf>
    <xf numFmtId="0" fontId="62" fillId="4" borderId="6" xfId="0" applyFont="1" applyFill="1" applyBorder="1"/>
    <xf numFmtId="5" fontId="62" fillId="0" borderId="6" xfId="93" applyNumberFormat="1" applyFont="1" applyFill="1" applyBorder="1" applyAlignment="1">
      <alignment horizontal="center" wrapText="1"/>
    </xf>
    <xf numFmtId="37" fontId="62" fillId="0" borderId="6" xfId="93" applyNumberFormat="1" applyFont="1" applyFill="1" applyBorder="1" applyAlignment="1">
      <alignment horizontal="center" wrapText="1"/>
    </xf>
    <xf numFmtId="165" fontId="62" fillId="0" borderId="6" xfId="0" applyNumberFormat="1" applyFont="1" applyFill="1" applyBorder="1" applyAlignment="1">
      <alignment horizontal="center" wrapText="1"/>
    </xf>
    <xf numFmtId="3" fontId="62" fillId="0" borderId="6" xfId="0" applyNumberFormat="1" applyFont="1" applyFill="1" applyBorder="1" applyAlignment="1">
      <alignment wrapText="1"/>
    </xf>
    <xf numFmtId="164" fontId="62" fillId="0" borderId="6" xfId="0" applyNumberFormat="1" applyFont="1" applyFill="1" applyBorder="1" applyAlignment="1">
      <alignment wrapText="1"/>
    </xf>
    <xf numFmtId="0" fontId="3" fillId="2" borderId="0" xfId="0" applyFont="1" applyFill="1" applyBorder="1"/>
    <xf numFmtId="3" fontId="62" fillId="0" borderId="6" xfId="0" applyNumberFormat="1" applyFont="1" applyFill="1" applyBorder="1"/>
    <xf numFmtId="3" fontId="62" fillId="0" borderId="6" xfId="1" applyNumberFormat="1" applyFont="1" applyFill="1" applyBorder="1" applyAlignment="1">
      <alignment horizontal="center"/>
    </xf>
    <xf numFmtId="9" fontId="63" fillId="0" borderId="6" xfId="0" applyNumberFormat="1" applyFont="1" applyFill="1" applyBorder="1" applyAlignment="1">
      <alignment wrapText="1"/>
    </xf>
    <xf numFmtId="9" fontId="62" fillId="0" borderId="6" xfId="0" applyNumberFormat="1" applyFont="1" applyFill="1" applyBorder="1" applyAlignment="1">
      <alignment wrapText="1"/>
    </xf>
    <xf numFmtId="9" fontId="63" fillId="0" borderId="6" xfId="0" applyNumberFormat="1" applyFont="1" applyBorder="1" applyAlignment="1">
      <alignment wrapText="1"/>
    </xf>
    <xf numFmtId="0" fontId="62" fillId="0" borderId="6" xfId="0" applyFont="1" applyBorder="1" applyAlignment="1">
      <alignment wrapText="1"/>
    </xf>
    <xf numFmtId="3" fontId="63" fillId="0" borderId="29" xfId="0" applyNumberFormat="1" applyFont="1" applyBorder="1" applyAlignment="1">
      <alignment horizontal="right" wrapText="1"/>
    </xf>
    <xf numFmtId="166" fontId="3" fillId="0" borderId="29" xfId="0" applyNumberFormat="1" applyFont="1" applyBorder="1" applyAlignment="1">
      <alignment wrapText="1"/>
    </xf>
    <xf numFmtId="166" fontId="62" fillId="0" borderId="6" xfId="0" applyNumberFormat="1" applyFont="1" applyFill="1" applyBorder="1" applyAlignment="1">
      <alignment horizontal="center"/>
    </xf>
    <xf numFmtId="164" fontId="62" fillId="0" borderId="7" xfId="0" applyNumberFormat="1" applyFont="1" applyBorder="1" applyAlignment="1">
      <alignment wrapText="1"/>
    </xf>
    <xf numFmtId="9" fontId="62" fillId="0" borderId="7" xfId="1" applyFont="1" applyBorder="1" applyAlignment="1">
      <alignment wrapText="1"/>
    </xf>
    <xf numFmtId="9" fontId="63" fillId="0" borderId="3" xfId="0" applyNumberFormat="1" applyFont="1" applyBorder="1" applyAlignment="1">
      <alignment wrapText="1"/>
    </xf>
    <xf numFmtId="0" fontId="62" fillId="0" borderId="6" xfId="0" applyFont="1" applyFill="1" applyBorder="1" applyAlignment="1">
      <alignment vertical="center" wrapText="1"/>
    </xf>
    <xf numFmtId="0" fontId="62" fillId="0" borderId="7" xfId="1" applyNumberFormat="1" applyFont="1" applyBorder="1" applyAlignment="1">
      <alignment wrapText="1"/>
    </xf>
    <xf numFmtId="9" fontId="62" fillId="0" borderId="1" xfId="1" applyFont="1" applyBorder="1" applyAlignment="1">
      <alignment wrapText="1"/>
    </xf>
    <xf numFmtId="9" fontId="62" fillId="0" borderId="0" xfId="1" applyFont="1" applyBorder="1" applyAlignment="1">
      <alignment wrapText="1"/>
    </xf>
    <xf numFmtId="0" fontId="63" fillId="0" borderId="3" xfId="0" applyFont="1" applyBorder="1" applyAlignment="1">
      <alignment wrapText="1"/>
    </xf>
    <xf numFmtId="0" fontId="63" fillId="0" borderId="6" xfId="0" applyFont="1" applyBorder="1" applyAlignment="1">
      <alignment wrapText="1"/>
    </xf>
    <xf numFmtId="0" fontId="63" fillId="0" borderId="7" xfId="0" applyFont="1" applyBorder="1" applyAlignment="1">
      <alignment wrapText="1"/>
    </xf>
    <xf numFmtId="0" fontId="63" fillId="0" borderId="1" xfId="0" applyFont="1" applyBorder="1" applyAlignment="1">
      <alignment wrapText="1"/>
    </xf>
    <xf numFmtId="0" fontId="63" fillId="0" borderId="0" xfId="0" applyFont="1" applyBorder="1" applyAlignment="1">
      <alignment wrapText="1"/>
    </xf>
    <xf numFmtId="0" fontId="62" fillId="0" borderId="0" xfId="0" applyFont="1" applyFill="1" applyBorder="1" applyAlignment="1">
      <alignment wrapText="1"/>
    </xf>
    <xf numFmtId="0" fontId="63" fillId="0" borderId="1" xfId="0" applyFont="1" applyFill="1" applyBorder="1" applyAlignment="1">
      <alignment wrapText="1"/>
    </xf>
    <xf numFmtId="0" fontId="63" fillId="0" borderId="0" xfId="0" applyFont="1" applyFill="1" applyBorder="1" applyAlignment="1">
      <alignment wrapText="1"/>
    </xf>
    <xf numFmtId="0" fontId="63" fillId="0" borderId="3" xfId="0" applyFont="1" applyFill="1" applyBorder="1" applyAlignment="1">
      <alignment wrapText="1"/>
    </xf>
    <xf numFmtId="0" fontId="8" fillId="0" borderId="0" xfId="0" applyNumberFormat="1" applyFont="1"/>
    <xf numFmtId="0" fontId="8" fillId="0" borderId="0" xfId="0" applyFont="1" applyAlignment="1">
      <alignment horizontal="center"/>
    </xf>
    <xf numFmtId="0" fontId="8" fillId="4" borderId="0" xfId="0" applyFont="1" applyFill="1"/>
    <xf numFmtId="0" fontId="8" fillId="0" borderId="0" xfId="0" applyFont="1" applyAlignment="1">
      <alignment wrapText="1"/>
    </xf>
    <xf numFmtId="0" fontId="8" fillId="0" borderId="0" xfId="0" applyFont="1"/>
    <xf numFmtId="0" fontId="3" fillId="0" borderId="0" xfId="0" applyFont="1"/>
    <xf numFmtId="0" fontId="65" fillId="43" borderId="0" xfId="0" applyFont="1" applyFill="1"/>
    <xf numFmtId="0" fontId="13" fillId="4" borderId="0" xfId="0" applyFont="1" applyFill="1"/>
    <xf numFmtId="3" fontId="13" fillId="0" borderId="0" xfId="0" applyNumberFormat="1" applyFont="1" applyFill="1" applyBorder="1" applyAlignment="1">
      <alignment horizontal="center"/>
    </xf>
    <xf numFmtId="9" fontId="13" fillId="0" borderId="0" xfId="0" applyNumberFormat="1" applyFont="1" applyFill="1" applyBorder="1" applyAlignment="1">
      <alignment horizontal="center"/>
    </xf>
    <xf numFmtId="0" fontId="5" fillId="2" borderId="0" xfId="0" applyFont="1" applyFill="1" applyBorder="1"/>
    <xf numFmtId="0" fontId="13" fillId="4" borderId="6" xfId="0" applyFont="1" applyFill="1" applyBorder="1"/>
    <xf numFmtId="164" fontId="13" fillId="0" borderId="6" xfId="1" applyNumberFormat="1" applyFont="1" applyFill="1" applyBorder="1" applyAlignment="1">
      <alignment horizontal="center" wrapText="1"/>
    </xf>
    <xf numFmtId="164" fontId="13" fillId="0" borderId="6" xfId="0" applyNumberFormat="1" applyFont="1" applyFill="1" applyBorder="1" applyAlignment="1">
      <alignment horizontal="center" wrapText="1"/>
    </xf>
    <xf numFmtId="5" fontId="13" fillId="0" borderId="6" xfId="93" applyNumberFormat="1" applyFont="1" applyFill="1" applyBorder="1" applyAlignment="1">
      <alignment horizontal="center" wrapText="1"/>
    </xf>
    <xf numFmtId="37" fontId="13" fillId="0" borderId="6" xfId="93" applyNumberFormat="1" applyFont="1" applyFill="1" applyBorder="1" applyAlignment="1">
      <alignment horizontal="center" wrapText="1"/>
    </xf>
    <xf numFmtId="165" fontId="13" fillId="0" borderId="6" xfId="93" applyNumberFormat="1" applyFont="1" applyFill="1" applyBorder="1" applyAlignment="1">
      <alignment horizontal="center" wrapText="1"/>
    </xf>
    <xf numFmtId="165" fontId="13" fillId="0" borderId="6" xfId="0" applyNumberFormat="1" applyFont="1" applyFill="1" applyBorder="1" applyAlignment="1">
      <alignment horizontal="center" wrapText="1"/>
    </xf>
    <xf numFmtId="3" fontId="13" fillId="0" borderId="6" xfId="0" applyNumberFormat="1" applyFont="1" applyFill="1" applyBorder="1" applyAlignment="1">
      <alignment wrapText="1"/>
    </xf>
    <xf numFmtId="164" fontId="13" fillId="0" borderId="6" xfId="0" applyNumberFormat="1" applyFont="1" applyFill="1" applyBorder="1" applyAlignment="1">
      <alignment wrapText="1"/>
    </xf>
    <xf numFmtId="0" fontId="14" fillId="0" borderId="6" xfId="0" applyFont="1" applyFill="1" applyBorder="1"/>
    <xf numFmtId="3" fontId="13" fillId="0" borderId="6" xfId="0" applyNumberFormat="1" applyFont="1" applyFill="1" applyBorder="1"/>
    <xf numFmtId="9" fontId="3" fillId="0" borderId="6" xfId="0" applyNumberFormat="1" applyFont="1" applyFill="1" applyBorder="1" applyAlignment="1">
      <alignment wrapText="1"/>
    </xf>
    <xf numFmtId="9" fontId="13" fillId="0" borderId="6" xfId="0" applyNumberFormat="1" applyFont="1" applyFill="1" applyBorder="1" applyAlignment="1">
      <alignment wrapText="1"/>
    </xf>
    <xf numFmtId="9" fontId="5" fillId="0" borderId="6" xfId="0" applyNumberFormat="1" applyFont="1" applyFill="1" applyBorder="1" applyAlignment="1">
      <alignment wrapText="1"/>
    </xf>
    <xf numFmtId="9" fontId="3" fillId="0" borderId="6" xfId="0" applyNumberFormat="1" applyFont="1" applyBorder="1" applyAlignment="1">
      <alignment wrapText="1"/>
    </xf>
    <xf numFmtId="3" fontId="5" fillId="0" borderId="6" xfId="0" applyNumberFormat="1" applyFont="1" applyFill="1" applyBorder="1" applyAlignment="1">
      <alignment wrapText="1"/>
    </xf>
    <xf numFmtId="3" fontId="3" fillId="0" borderId="6" xfId="0" applyNumberFormat="1" applyFont="1" applyBorder="1" applyAlignment="1">
      <alignment wrapText="1"/>
    </xf>
    <xf numFmtId="166" fontId="13" fillId="0" borderId="6" xfId="0" applyNumberFormat="1" applyFont="1" applyFill="1" applyBorder="1" applyAlignment="1">
      <alignment horizontal="center"/>
    </xf>
    <xf numFmtId="0" fontId="13" fillId="0" borderId="6" xfId="0" applyFont="1" applyBorder="1" applyAlignment="1">
      <alignment wrapText="1"/>
    </xf>
    <xf numFmtId="9" fontId="13" fillId="0" borderId="6" xfId="1" applyFont="1" applyBorder="1" applyAlignment="1">
      <alignment wrapText="1"/>
    </xf>
    <xf numFmtId="9" fontId="5" fillId="0" borderId="6" xfId="0" applyNumberFormat="1" applyFont="1" applyBorder="1" applyAlignment="1">
      <alignment wrapText="1"/>
    </xf>
    <xf numFmtId="165" fontId="13" fillId="0" borderId="6" xfId="0" applyNumberFormat="1" applyFont="1" applyBorder="1" applyAlignment="1">
      <alignment wrapText="1"/>
    </xf>
    <xf numFmtId="9" fontId="5" fillId="0" borderId="29" xfId="0" applyNumberFormat="1" applyFont="1" applyBorder="1" applyAlignment="1">
      <alignment wrapText="1"/>
    </xf>
    <xf numFmtId="3" fontId="3" fillId="0" borderId="29" xfId="0" applyNumberFormat="1" applyFont="1" applyBorder="1" applyAlignment="1">
      <alignment horizontal="right" wrapText="1"/>
    </xf>
    <xf numFmtId="164" fontId="13" fillId="0" borderId="7" xfId="0" applyNumberFormat="1" applyFont="1" applyBorder="1" applyAlignment="1">
      <alignment wrapText="1"/>
    </xf>
    <xf numFmtId="9" fontId="5" fillId="0" borderId="4" xfId="0" applyNumberFormat="1" applyFont="1" applyBorder="1" applyAlignment="1">
      <alignment wrapText="1"/>
    </xf>
    <xf numFmtId="3" fontId="3" fillId="0" borderId="2" xfId="0" applyNumberFormat="1" applyFont="1" applyBorder="1" applyAlignment="1">
      <alignment wrapText="1"/>
    </xf>
    <xf numFmtId="9" fontId="3" fillId="0" borderId="5" xfId="0" applyNumberFormat="1" applyFont="1" applyBorder="1" applyAlignment="1">
      <alignment wrapText="1"/>
    </xf>
    <xf numFmtId="0" fontId="13" fillId="0" borderId="6" xfId="0" applyFont="1" applyFill="1" applyBorder="1" applyAlignment="1">
      <alignment vertical="center" wrapText="1"/>
    </xf>
    <xf numFmtId="9" fontId="13" fillId="0" borderId="7" xfId="1" applyFont="1" applyBorder="1" applyAlignment="1">
      <alignment wrapText="1"/>
    </xf>
    <xf numFmtId="9" fontId="13" fillId="0" borderId="1" xfId="1" applyFont="1" applyBorder="1" applyAlignment="1">
      <alignment wrapText="1"/>
    </xf>
    <xf numFmtId="9" fontId="13" fillId="0" borderId="0" xfId="1" applyFont="1" applyBorder="1" applyAlignment="1">
      <alignment wrapText="1"/>
    </xf>
    <xf numFmtId="0" fontId="3" fillId="0" borderId="3" xfId="0" applyFont="1" applyBorder="1" applyAlignment="1">
      <alignment wrapText="1"/>
    </xf>
    <xf numFmtId="3" fontId="13" fillId="0" borderId="6" xfId="0" applyNumberFormat="1" applyFont="1" applyBorder="1" applyAlignment="1">
      <alignment horizontal="center"/>
    </xf>
    <xf numFmtId="0" fontId="5" fillId="0" borderId="6" xfId="0" applyFont="1" applyBorder="1" applyAlignment="1">
      <alignment wrapText="1"/>
    </xf>
    <xf numFmtId="0" fontId="5" fillId="0" borderId="7" xfId="0" applyFont="1" applyBorder="1" applyAlignment="1">
      <alignment wrapText="1"/>
    </xf>
    <xf numFmtId="0" fontId="5" fillId="0" borderId="1" xfId="0" applyFont="1" applyBorder="1" applyAlignment="1">
      <alignment wrapText="1"/>
    </xf>
    <xf numFmtId="0" fontId="3" fillId="0" borderId="0" xfId="0" applyFont="1" applyBorder="1" applyAlignment="1">
      <alignment wrapText="1"/>
    </xf>
    <xf numFmtId="3" fontId="59" fillId="0" borderId="6" xfId="0" applyNumberFormat="1" applyFont="1" applyBorder="1"/>
    <xf numFmtId="10" fontId="52" fillId="0" borderId="0" xfId="94" applyNumberFormat="1"/>
    <xf numFmtId="164" fontId="52" fillId="0" borderId="0" xfId="1" applyNumberFormat="1" applyFont="1"/>
    <xf numFmtId="165" fontId="62" fillId="0" borderId="7" xfId="0" applyNumberFormat="1" applyFont="1" applyBorder="1" applyAlignment="1">
      <alignment wrapText="1"/>
    </xf>
    <xf numFmtId="3" fontId="63" fillId="0" borderId="0" xfId="0" applyNumberFormat="1" applyFont="1" applyBorder="1" applyAlignment="1">
      <alignment horizontal="right" wrapText="1"/>
    </xf>
    <xf numFmtId="9" fontId="63" fillId="0" borderId="22" xfId="0" applyNumberFormat="1" applyFont="1" applyBorder="1" applyAlignment="1">
      <alignment wrapText="1"/>
    </xf>
    <xf numFmtId="9" fontId="66" fillId="0" borderId="4" xfId="0" applyNumberFormat="1" applyFont="1" applyBorder="1" applyAlignment="1">
      <alignment wrapText="1"/>
    </xf>
    <xf numFmtId="3" fontId="63" fillId="0" borderId="2" xfId="0" applyNumberFormat="1" applyFont="1" applyBorder="1" applyAlignment="1">
      <alignment horizontal="right" wrapText="1"/>
    </xf>
    <xf numFmtId="166" fontId="3" fillId="0" borderId="5" xfId="0" applyNumberFormat="1" applyFont="1" applyBorder="1" applyAlignment="1">
      <alignment wrapText="1"/>
    </xf>
    <xf numFmtId="9" fontId="66" fillId="0" borderId="1" xfId="0" applyNumberFormat="1" applyFont="1" applyBorder="1" applyAlignment="1">
      <alignment wrapText="1"/>
    </xf>
    <xf numFmtId="166" fontId="3" fillId="0" borderId="3" xfId="0" applyNumberFormat="1" applyFont="1" applyBorder="1" applyAlignment="1">
      <alignment wrapText="1"/>
    </xf>
    <xf numFmtId="9" fontId="63" fillId="0" borderId="31" xfId="0" applyNumberFormat="1" applyFont="1" applyBorder="1" applyAlignment="1">
      <alignment wrapText="1"/>
    </xf>
    <xf numFmtId="3" fontId="63" fillId="0" borderId="30" xfId="0" applyNumberFormat="1" applyFont="1" applyBorder="1" applyAlignment="1">
      <alignment wrapText="1"/>
    </xf>
    <xf numFmtId="9" fontId="63" fillId="0" borderId="32" xfId="0" applyNumberFormat="1" applyFont="1" applyBorder="1" applyAlignment="1">
      <alignment wrapText="1"/>
    </xf>
    <xf numFmtId="0" fontId="11" fillId="0" borderId="0" xfId="2"/>
    <xf numFmtId="0" fontId="62" fillId="0" borderId="6" xfId="0" applyFont="1" applyBorder="1" applyAlignment="1">
      <alignment horizontal="right" wrapText="1"/>
    </xf>
    <xf numFmtId="10" fontId="49" fillId="6" borderId="7" xfId="0" applyNumberFormat="1" applyFont="1" applyFill="1" applyBorder="1" applyAlignment="1"/>
    <xf numFmtId="166" fontId="62" fillId="0" borderId="6" xfId="93" applyNumberFormat="1" applyFont="1" applyFill="1" applyBorder="1" applyAlignment="1">
      <alignment horizontal="center"/>
    </xf>
    <xf numFmtId="166" fontId="13" fillId="0" borderId="6" xfId="93" applyNumberFormat="1" applyFont="1" applyFill="1" applyBorder="1" applyAlignment="1">
      <alignment horizontal="center"/>
    </xf>
    <xf numFmtId="166" fontId="13" fillId="0" borderId="6" xfId="1" applyNumberFormat="1" applyFont="1" applyFill="1" applyBorder="1" applyAlignment="1">
      <alignment horizontal="center"/>
    </xf>
    <xf numFmtId="166" fontId="62" fillId="0" borderId="6" xfId="0" applyNumberFormat="1" applyFont="1" applyBorder="1" applyAlignment="1">
      <alignment horizontal="center"/>
    </xf>
    <xf numFmtId="166" fontId="13" fillId="0" borderId="6" xfId="0" applyNumberFormat="1" applyFont="1" applyBorder="1" applyAlignment="1">
      <alignment horizontal="center"/>
    </xf>
    <xf numFmtId="0" fontId="69" fillId="0" borderId="0" xfId="97"/>
    <xf numFmtId="165" fontId="11" fillId="0" borderId="0" xfId="97" applyNumberFormat="1" applyFont="1" applyAlignment="1">
      <alignment horizontal="right"/>
    </xf>
    <xf numFmtId="3" fontId="69" fillId="0" borderId="0" xfId="97" applyNumberFormat="1"/>
    <xf numFmtId="165" fontId="69" fillId="0" borderId="0" xfId="97" applyNumberFormat="1"/>
    <xf numFmtId="0" fontId="70" fillId="0" borderId="0" xfId="97" applyFont="1" applyAlignment="1">
      <alignment horizontal="left"/>
    </xf>
    <xf numFmtId="170" fontId="11" fillId="0" borderId="0" xfId="97" applyNumberFormat="1" applyFont="1" applyAlignment="1">
      <alignment horizontal="center"/>
    </xf>
    <xf numFmtId="0" fontId="11" fillId="0" borderId="0" xfId="97" applyFont="1" applyAlignment="1">
      <alignment horizontal="left"/>
    </xf>
    <xf numFmtId="165" fontId="11" fillId="0" borderId="0" xfId="97" applyNumberFormat="1" applyFont="1" applyBorder="1" applyAlignment="1">
      <alignment horizontal="right"/>
    </xf>
    <xf numFmtId="0" fontId="11" fillId="0" borderId="0" xfId="97" applyFont="1" applyBorder="1" applyAlignment="1">
      <alignment horizontal="left"/>
    </xf>
    <xf numFmtId="165" fontId="51" fillId="0" borderId="0" xfId="2" applyNumberFormat="1" applyFont="1" applyAlignment="1">
      <alignment horizontal="right"/>
    </xf>
    <xf numFmtId="3" fontId="51" fillId="0" borderId="0" xfId="2" applyNumberFormat="1" applyFont="1" applyAlignment="1">
      <alignment horizontal="right"/>
    </xf>
    <xf numFmtId="0" fontId="51" fillId="0" borderId="0" xfId="2" applyFont="1" applyBorder="1" applyAlignment="1">
      <alignment horizontal="left"/>
    </xf>
    <xf numFmtId="165" fontId="11" fillId="0" borderId="12" xfId="97" applyNumberFormat="1" applyFont="1" applyBorder="1" applyAlignment="1">
      <alignment horizontal="right"/>
    </xf>
    <xf numFmtId="0" fontId="11" fillId="0" borderId="12" xfId="97" applyFont="1" applyBorder="1" applyAlignment="1">
      <alignment horizontal="left"/>
    </xf>
    <xf numFmtId="165" fontId="11" fillId="0" borderId="0" xfId="97" applyNumberFormat="1" applyFont="1"/>
    <xf numFmtId="3" fontId="11" fillId="0" borderId="0" xfId="97" applyNumberFormat="1" applyFont="1"/>
    <xf numFmtId="0" fontId="11" fillId="0" borderId="0" xfId="97" applyFont="1" applyAlignment="1">
      <alignment horizontal="center"/>
    </xf>
    <xf numFmtId="165" fontId="11" fillId="0" borderId="0" xfId="2" applyNumberFormat="1"/>
    <xf numFmtId="166" fontId="11" fillId="0" borderId="0" xfId="2" applyNumberFormat="1"/>
    <xf numFmtId="166" fontId="69" fillId="0" borderId="0" xfId="97" applyNumberFormat="1"/>
    <xf numFmtId="166" fontId="62" fillId="0" borderId="7" xfId="0" applyNumberFormat="1" applyFont="1" applyBorder="1" applyAlignment="1">
      <alignment wrapText="1"/>
    </xf>
    <xf numFmtId="10" fontId="51" fillId="0" borderId="13" xfId="1" applyNumberFormat="1" applyFont="1" applyBorder="1" applyAlignment="1">
      <alignment horizontal="right"/>
    </xf>
    <xf numFmtId="10" fontId="51" fillId="0" borderId="6" xfId="0" applyNumberFormat="1" applyFont="1" applyBorder="1"/>
    <xf numFmtId="9" fontId="0" fillId="0" borderId="6" xfId="0" applyNumberFormat="1" applyBorder="1"/>
    <xf numFmtId="1" fontId="52" fillId="0" borderId="0" xfId="94" applyNumberFormat="1"/>
    <xf numFmtId="0" fontId="11" fillId="0" borderId="0" xfId="97" applyFont="1"/>
    <xf numFmtId="166" fontId="11" fillId="0" borderId="0" xfId="97" applyNumberFormat="1" applyFont="1"/>
    <xf numFmtId="2" fontId="11" fillId="0" borderId="0" xfId="97" applyNumberFormat="1" applyFont="1"/>
    <xf numFmtId="9" fontId="44" fillId="0" borderId="6" xfId="0" applyNumberFormat="1" applyFont="1" applyBorder="1" applyAlignment="1">
      <alignment horizontal="left" wrapText="1"/>
    </xf>
    <xf numFmtId="1" fontId="11" fillId="0" borderId="0" xfId="2" applyNumberFormat="1" applyFont="1" applyFill="1" applyAlignment="1">
      <alignment horizontal="left"/>
    </xf>
    <xf numFmtId="3" fontId="11" fillId="0" borderId="0" xfId="2" applyNumberFormat="1" applyFont="1" applyFill="1" applyAlignment="1">
      <alignment horizontal="right"/>
    </xf>
    <xf numFmtId="3" fontId="11" fillId="0" borderId="0" xfId="98" applyNumberFormat="1" applyFont="1" applyFill="1" applyAlignment="1">
      <alignment horizontal="right"/>
    </xf>
    <xf numFmtId="165" fontId="11" fillId="0" borderId="0" xfId="2" applyNumberFormat="1" applyFont="1" applyFill="1" applyAlignment="1">
      <alignment horizontal="right"/>
    </xf>
    <xf numFmtId="3" fontId="11" fillId="0" borderId="0" xfId="2" applyNumberFormat="1" applyFont="1" applyAlignment="1">
      <alignment horizontal="right"/>
    </xf>
    <xf numFmtId="165" fontId="71" fillId="0" borderId="0" xfId="2" applyNumberFormat="1" applyFont="1" applyFill="1" applyAlignment="1">
      <alignment horizontal="center"/>
    </xf>
    <xf numFmtId="165" fontId="74" fillId="0" borderId="0" xfId="2" applyNumberFormat="1" applyFont="1" applyFill="1" applyAlignment="1">
      <alignment horizontal="center"/>
    </xf>
    <xf numFmtId="165" fontId="75" fillId="0" borderId="0" xfId="2" applyNumberFormat="1" applyFont="1" applyFill="1" applyAlignment="1">
      <alignment horizontal="center"/>
    </xf>
    <xf numFmtId="165" fontId="76" fillId="0" borderId="0" xfId="2" applyNumberFormat="1" applyFont="1" applyFill="1" applyAlignment="1">
      <alignment horizontal="center"/>
    </xf>
    <xf numFmtId="165" fontId="11" fillId="0" borderId="12" xfId="2" applyNumberFormat="1" applyFont="1" applyFill="1" applyBorder="1" applyAlignment="1">
      <alignment horizontal="right"/>
    </xf>
    <xf numFmtId="3" fontId="11" fillId="0" borderId="12" xfId="2" applyNumberFormat="1" applyFont="1" applyFill="1" applyBorder="1" applyAlignment="1">
      <alignment horizontal="right"/>
    </xf>
    <xf numFmtId="3" fontId="11" fillId="0" borderId="12" xfId="2" applyNumberFormat="1" applyFont="1" applyBorder="1" applyAlignment="1">
      <alignment horizontal="right"/>
    </xf>
    <xf numFmtId="165" fontId="11" fillId="0" borderId="0" xfId="2" applyNumberFormat="1" applyFont="1" applyAlignment="1">
      <alignment horizontal="right"/>
    </xf>
    <xf numFmtId="166" fontId="11" fillId="0" borderId="0" xfId="93" applyNumberFormat="1" applyFont="1"/>
    <xf numFmtId="9" fontId="52" fillId="0" borderId="0" xfId="1" applyFont="1"/>
    <xf numFmtId="10" fontId="61" fillId="6" borderId="23" xfId="0" applyNumberFormat="1" applyFont="1" applyFill="1" applyBorder="1" applyAlignment="1">
      <alignment wrapText="1"/>
    </xf>
    <xf numFmtId="0" fontId="60" fillId="0" borderId="23" xfId="0" applyFont="1" applyFill="1" applyBorder="1"/>
    <xf numFmtId="0" fontId="60" fillId="0" borderId="23" xfId="4" applyFont="1" applyFill="1" applyBorder="1" applyAlignment="1">
      <alignment wrapText="1"/>
    </xf>
    <xf numFmtId="0" fontId="60" fillId="0" borderId="23" xfId="0" applyFont="1" applyFill="1" applyBorder="1" applyAlignment="1">
      <alignment wrapText="1"/>
    </xf>
    <xf numFmtId="0" fontId="39" fillId="0" borderId="2" xfId="0" applyFont="1" applyBorder="1"/>
    <xf numFmtId="0" fontId="63" fillId="4" borderId="2" xfId="0" applyFont="1" applyFill="1" applyBorder="1"/>
    <xf numFmtId="0" fontId="63" fillId="0" borderId="2" xfId="0" applyFont="1" applyBorder="1" applyAlignment="1">
      <alignment wrapText="1"/>
    </xf>
    <xf numFmtId="0" fontId="63" fillId="0" borderId="2" xfId="0" applyFont="1" applyBorder="1"/>
    <xf numFmtId="0" fontId="63" fillId="0" borderId="5" xfId="0" applyFont="1" applyBorder="1"/>
    <xf numFmtId="0" fontId="64" fillId="0" borderId="1" xfId="0" applyFont="1" applyBorder="1"/>
    <xf numFmtId="0" fontId="62" fillId="4" borderId="0" xfId="0" applyFont="1" applyFill="1" applyBorder="1"/>
    <xf numFmtId="0" fontId="3" fillId="2" borderId="1" xfId="0" applyFont="1" applyFill="1" applyBorder="1"/>
    <xf numFmtId="0" fontId="63" fillId="2" borderId="3" xfId="0" applyFont="1" applyFill="1" applyBorder="1"/>
    <xf numFmtId="0" fontId="3" fillId="2" borderId="1" xfId="0" applyFont="1" applyFill="1" applyBorder="1" applyAlignment="1">
      <alignment wrapText="1"/>
    </xf>
    <xf numFmtId="0" fontId="63" fillId="2" borderId="3" xfId="0" applyFont="1" applyFill="1" applyBorder="1" applyAlignment="1">
      <alignment wrapText="1"/>
    </xf>
    <xf numFmtId="10" fontId="49" fillId="6" borderId="31" xfId="0" applyNumberFormat="1" applyFont="1" applyFill="1" applyBorder="1" applyAlignment="1">
      <alignment wrapText="1"/>
    </xf>
    <xf numFmtId="10" fontId="61" fillId="6" borderId="34" xfId="0" applyNumberFormat="1" applyFont="1" applyFill="1" applyBorder="1" applyAlignment="1">
      <alignment wrapText="1"/>
    </xf>
    <xf numFmtId="10" fontId="61" fillId="6" borderId="35" xfId="0" applyNumberFormat="1" applyFont="1" applyFill="1" applyBorder="1" applyAlignment="1">
      <alignment wrapText="1"/>
    </xf>
    <xf numFmtId="0" fontId="61" fillId="0" borderId="2" xfId="0" applyFont="1" applyBorder="1" applyAlignment="1">
      <alignment wrapText="1"/>
    </xf>
    <xf numFmtId="0" fontId="39" fillId="8" borderId="0" xfId="0" applyFont="1" applyFill="1" applyBorder="1" applyAlignment="1">
      <alignment vertical="top"/>
    </xf>
    <xf numFmtId="0" fontId="39" fillId="8" borderId="0" xfId="0" applyFont="1" applyFill="1" applyBorder="1" applyAlignment="1">
      <alignment horizontal="right" vertical="top"/>
    </xf>
    <xf numFmtId="0" fontId="78" fillId="47" borderId="36" xfId="0" applyFont="1" applyFill="1" applyBorder="1"/>
    <xf numFmtId="169" fontId="77" fillId="0" borderId="0" xfId="100"/>
    <xf numFmtId="164" fontId="77" fillId="0" borderId="0" xfId="100" applyNumberFormat="1"/>
    <xf numFmtId="169" fontId="77" fillId="0" borderId="0" xfId="100" applyNumberFormat="1" applyAlignment="1">
      <alignment horizontal="left"/>
    </xf>
    <xf numFmtId="3" fontId="77" fillId="0" borderId="0" xfId="100" applyNumberFormat="1"/>
    <xf numFmtId="169" fontId="77" fillId="0" borderId="0" xfId="100" applyAlignment="1">
      <alignment horizontal="left" indent="1"/>
    </xf>
    <xf numFmtId="169" fontId="77" fillId="0" borderId="0" xfId="100" pivotButton="1"/>
    <xf numFmtId="1" fontId="8" fillId="0" borderId="33" xfId="0" applyNumberFormat="1" applyFont="1" applyBorder="1"/>
    <xf numFmtId="0" fontId="80" fillId="0" borderId="0" xfId="0" applyFont="1" applyAlignment="1">
      <alignment horizontal="center"/>
    </xf>
    <xf numFmtId="0" fontId="37" fillId="0" borderId="33" xfId="0" applyFont="1" applyBorder="1" applyAlignment="1">
      <alignment horizontal="center" wrapText="1"/>
    </xf>
    <xf numFmtId="0" fontId="37" fillId="0" borderId="37" xfId="0" applyFont="1" applyBorder="1" applyAlignment="1">
      <alignment horizontal="center" wrapText="1"/>
    </xf>
    <xf numFmtId="0" fontId="81" fillId="0" borderId="0" xfId="0" applyFont="1" applyAlignment="1">
      <alignment horizontal="center" wrapText="1"/>
    </xf>
    <xf numFmtId="0" fontId="81" fillId="0" borderId="0" xfId="0" applyFont="1" applyAlignment="1">
      <alignment wrapText="1"/>
    </xf>
    <xf numFmtId="0" fontId="63" fillId="0" borderId="2" xfId="0" applyFont="1" applyBorder="1" applyAlignment="1">
      <alignment horizontal="right"/>
    </xf>
    <xf numFmtId="0" fontId="63" fillId="0" borderId="2" xfId="0" applyFont="1" applyBorder="1" applyAlignment="1">
      <alignment horizontal="left"/>
    </xf>
    <xf numFmtId="0" fontId="47" fillId="0" borderId="3" xfId="0" applyFont="1" applyFill="1" applyBorder="1" applyAlignment="1">
      <alignment horizontal="center" wrapText="1"/>
    </xf>
    <xf numFmtId="0" fontId="4" fillId="0" borderId="0" xfId="0" applyFont="1" applyBorder="1" applyAlignment="1">
      <alignment wrapText="1"/>
    </xf>
    <xf numFmtId="9" fontId="44" fillId="0" borderId="0" xfId="0" applyNumberFormat="1" applyFont="1" applyBorder="1" applyAlignment="1">
      <alignment wrapText="1"/>
    </xf>
    <xf numFmtId="3" fontId="44" fillId="0" borderId="0" xfId="0" applyNumberFormat="1" applyFont="1" applyBorder="1" applyAlignment="1">
      <alignment wrapText="1"/>
    </xf>
    <xf numFmtId="3" fontId="44" fillId="41" borderId="0" xfId="0" applyNumberFormat="1" applyFont="1" applyFill="1" applyBorder="1" applyAlignment="1">
      <alignment vertical="center" wrapText="1"/>
    </xf>
    <xf numFmtId="4" fontId="44" fillId="0" borderId="0" xfId="0" applyNumberFormat="1" applyFont="1" applyBorder="1" applyAlignment="1">
      <alignment wrapText="1"/>
    </xf>
    <xf numFmtId="0" fontId="44" fillId="0" borderId="0" xfId="0" applyFont="1" applyFill="1" applyBorder="1" applyAlignment="1">
      <alignment horizontal="left" wrapText="1"/>
    </xf>
    <xf numFmtId="0" fontId="4" fillId="0" borderId="0" xfId="0" applyFont="1" applyAlignment="1">
      <alignment horizontal="left" wrapText="1"/>
    </xf>
    <xf numFmtId="0" fontId="44" fillId="0" borderId="0" xfId="0" applyFont="1" applyAlignment="1">
      <alignment horizontal="left" wrapText="1"/>
    </xf>
    <xf numFmtId="0" fontId="5" fillId="0" borderId="0" xfId="0" applyFont="1" applyBorder="1" applyAlignment="1">
      <alignment horizontal="left" wrapText="1"/>
    </xf>
    <xf numFmtId="0" fontId="5" fillId="0" borderId="0" xfId="0" applyFont="1" applyFill="1" applyBorder="1" applyAlignment="1">
      <alignment horizontal="left" wrapText="1"/>
    </xf>
    <xf numFmtId="0" fontId="5" fillId="0" borderId="0" xfId="0" applyFont="1" applyAlignment="1">
      <alignment horizontal="left" wrapText="1"/>
    </xf>
    <xf numFmtId="0" fontId="4" fillId="0" borderId="6" xfId="0" applyFont="1" applyBorder="1" applyAlignment="1">
      <alignment horizontal="left" wrapText="1"/>
    </xf>
    <xf numFmtId="3" fontId="44" fillId="0" borderId="6" xfId="0" applyNumberFormat="1" applyFont="1" applyBorder="1" applyAlignment="1">
      <alignment horizontal="left" wrapText="1"/>
    </xf>
    <xf numFmtId="3" fontId="44" fillId="41" borderId="6" xfId="0" applyNumberFormat="1" applyFont="1" applyFill="1" applyBorder="1" applyAlignment="1">
      <alignment horizontal="left" vertical="center" wrapText="1"/>
    </xf>
    <xf numFmtId="4" fontId="44" fillId="0" borderId="6" xfId="0" applyNumberFormat="1" applyFont="1" applyBorder="1" applyAlignment="1">
      <alignment horizontal="left" wrapText="1"/>
    </xf>
    <xf numFmtId="0" fontId="18" fillId="4" borderId="6" xfId="0" applyFont="1" applyFill="1" applyBorder="1" applyAlignment="1">
      <alignment wrapText="1"/>
    </xf>
    <xf numFmtId="0" fontId="44" fillId="4" borderId="6" xfId="0" applyFont="1" applyFill="1" applyBorder="1" applyAlignment="1">
      <alignment horizontal="left" wrapText="1"/>
    </xf>
    <xf numFmtId="0" fontId="44" fillId="4" borderId="7" xfId="0" applyFont="1" applyFill="1" applyBorder="1" applyAlignment="1">
      <alignment horizontal="left" wrapText="1"/>
    </xf>
    <xf numFmtId="0" fontId="13" fillId="0" borderId="0" xfId="0" applyFont="1" applyBorder="1" applyAlignment="1">
      <alignment horizontal="left" wrapText="1"/>
    </xf>
    <xf numFmtId="0" fontId="5" fillId="0" borderId="6" xfId="0" applyFont="1" applyBorder="1" applyAlignment="1">
      <alignment horizontal="left" wrapText="1"/>
    </xf>
    <xf numFmtId="0" fontId="44" fillId="0" borderId="0" xfId="0" applyFont="1" applyBorder="1" applyAlignment="1">
      <alignment horizontal="left" wrapText="1"/>
    </xf>
    <xf numFmtId="0" fontId="13" fillId="0" borderId="6" xfId="0" applyFont="1" applyBorder="1" applyAlignment="1">
      <alignment horizontal="left" wrapText="1"/>
    </xf>
    <xf numFmtId="0" fontId="44" fillId="0" borderId="6" xfId="0" applyFont="1" applyBorder="1" applyAlignment="1">
      <alignment horizontal="left" wrapText="1"/>
    </xf>
    <xf numFmtId="0" fontId="44" fillId="4" borderId="7" xfId="0" applyFont="1" applyFill="1" applyBorder="1" applyAlignment="1">
      <alignment wrapText="1"/>
    </xf>
    <xf numFmtId="0" fontId="13" fillId="41" borderId="0" xfId="0" applyFont="1" applyFill="1" applyBorder="1" applyAlignment="1">
      <alignment horizontal="left" vertical="center" wrapText="1"/>
    </xf>
    <xf numFmtId="0" fontId="13" fillId="41" borderId="6" xfId="0" applyFont="1" applyFill="1" applyBorder="1" applyAlignment="1">
      <alignment horizontal="left" vertical="center" wrapText="1"/>
    </xf>
    <xf numFmtId="0" fontId="44" fillId="4" borderId="8" xfId="0" applyFont="1" applyFill="1" applyBorder="1" applyAlignment="1">
      <alignment wrapText="1"/>
    </xf>
    <xf numFmtId="0" fontId="44" fillId="4" borderId="8" xfId="0" applyFont="1" applyFill="1" applyBorder="1" applyAlignment="1">
      <alignment horizontal="left" wrapText="1"/>
    </xf>
    <xf numFmtId="0" fontId="44" fillId="4" borderId="22" xfId="0" applyFont="1" applyFill="1" applyBorder="1" applyAlignment="1">
      <alignment wrapText="1"/>
    </xf>
    <xf numFmtId="0" fontId="44" fillId="0" borderId="29" xfId="0" applyFont="1" applyFill="1" applyBorder="1" applyAlignment="1">
      <alignment wrapText="1"/>
    </xf>
    <xf numFmtId="0" fontId="13" fillId="0" borderId="0" xfId="0" applyFont="1" applyAlignment="1">
      <alignment wrapText="1"/>
    </xf>
    <xf numFmtId="0" fontId="4" fillId="4" borderId="0" xfId="0" applyFont="1" applyFill="1" applyAlignment="1">
      <alignment wrapText="1"/>
    </xf>
    <xf numFmtId="0" fontId="48" fillId="0" borderId="6" xfId="3" applyFont="1" applyFill="1" applyBorder="1" applyAlignment="1" applyProtection="1">
      <alignment horizontal="left" wrapText="1"/>
    </xf>
    <xf numFmtId="0" fontId="48" fillId="0" borderId="6" xfId="3" applyFont="1" applyFill="1" applyBorder="1" applyAlignment="1" applyProtection="1">
      <alignment wrapText="1"/>
    </xf>
    <xf numFmtId="0" fontId="48" fillId="0" borderId="6" xfId="3" applyFont="1" applyBorder="1" applyAlignment="1" applyProtection="1">
      <alignment horizontal="left" wrapText="1"/>
    </xf>
    <xf numFmtId="0" fontId="48" fillId="0" borderId="6" xfId="3" applyFont="1" applyFill="1" applyBorder="1" applyAlignment="1" applyProtection="1">
      <alignment horizontal="left" vertical="center" wrapText="1"/>
    </xf>
    <xf numFmtId="0" fontId="48" fillId="0" borderId="29" xfId="3" applyFont="1" applyFill="1" applyBorder="1" applyAlignment="1" applyProtection="1">
      <alignment horizontal="left" vertical="center" wrapText="1"/>
    </xf>
    <xf numFmtId="10" fontId="13" fillId="3" borderId="24" xfId="0" applyNumberFormat="1" applyFont="1" applyFill="1" applyBorder="1" applyAlignment="1">
      <alignment horizontal="left" wrapText="1"/>
    </xf>
    <xf numFmtId="10" fontId="13" fillId="3" borderId="13" xfId="0" applyNumberFormat="1" applyFont="1" applyFill="1" applyBorder="1" applyAlignment="1">
      <alignment wrapText="1"/>
    </xf>
    <xf numFmtId="164" fontId="0" fillId="0" borderId="0" xfId="1" applyNumberFormat="1" applyFont="1"/>
    <xf numFmtId="0" fontId="4" fillId="0" borderId="12" xfId="0" applyFont="1" applyBorder="1" applyAlignment="1">
      <alignment horizontal="center"/>
    </xf>
    <xf numFmtId="10" fontId="49" fillId="6" borderId="6" xfId="0" applyNumberFormat="1" applyFont="1" applyFill="1" applyBorder="1" applyAlignment="1">
      <alignment horizontal="left" wrapText="1"/>
    </xf>
    <xf numFmtId="10" fontId="61" fillId="6" borderId="6" xfId="0" applyNumberFormat="1" applyFont="1" applyFill="1" applyBorder="1" applyAlignment="1">
      <alignment horizontal="left"/>
    </xf>
    <xf numFmtId="0" fontId="3" fillId="45" borderId="0" xfId="0" applyFont="1" applyFill="1" applyBorder="1" applyAlignment="1">
      <alignment horizontal="center"/>
    </xf>
    <xf numFmtId="0" fontId="3" fillId="45" borderId="3" xfId="0" applyFont="1" applyFill="1" applyBorder="1" applyAlignment="1">
      <alignment horizontal="center"/>
    </xf>
    <xf numFmtId="0" fontId="2" fillId="6" borderId="0" xfId="0" applyFont="1" applyFill="1" applyBorder="1" applyAlignment="1">
      <alignment horizontal="center"/>
    </xf>
    <xf numFmtId="0" fontId="13" fillId="10" borderId="0" xfId="2" applyFont="1" applyFill="1" applyBorder="1" applyAlignment="1">
      <alignment horizontal="right" wrapText="1"/>
    </xf>
    <xf numFmtId="0" fontId="8" fillId="9" borderId="0" xfId="0" applyFont="1" applyFill="1" applyBorder="1" applyAlignment="1">
      <alignment horizontal="center"/>
    </xf>
    <xf numFmtId="0" fontId="11" fillId="0" borderId="0" xfId="2" applyAlignment="1">
      <alignment horizontal="left"/>
    </xf>
    <xf numFmtId="0" fontId="11" fillId="0" borderId="0" xfId="2"/>
    <xf numFmtId="0" fontId="17" fillId="8" borderId="0" xfId="0" applyFont="1" applyFill="1" applyBorder="1" applyAlignment="1">
      <alignment horizontal="right" vertical="top"/>
    </xf>
    <xf numFmtId="0" fontId="17" fillId="8" borderId="0" xfId="0" applyFont="1" applyFill="1" applyBorder="1" applyAlignment="1">
      <alignment horizontal="left" vertical="top"/>
    </xf>
    <xf numFmtId="0" fontId="6" fillId="8" borderId="0" xfId="0" applyFont="1" applyFill="1" applyBorder="1" applyAlignment="1">
      <alignment horizontal="center" wrapText="1"/>
    </xf>
    <xf numFmtId="0" fontId="5" fillId="10" borderId="0" xfId="0" applyFont="1" applyFill="1" applyBorder="1" applyAlignment="1">
      <alignment horizontal="center" wrapText="1"/>
    </xf>
    <xf numFmtId="0" fontId="5" fillId="10" borderId="0" xfId="0" applyFont="1" applyFill="1" applyBorder="1" applyAlignment="1">
      <alignment horizontal="right" wrapText="1"/>
    </xf>
    <xf numFmtId="0" fontId="13" fillId="10" borderId="0" xfId="2" applyFont="1" applyFill="1" applyBorder="1" applyAlignment="1">
      <alignment horizontal="center" wrapText="1"/>
    </xf>
    <xf numFmtId="0" fontId="7" fillId="42" borderId="0" xfId="0" applyFont="1" applyFill="1" applyBorder="1" applyAlignment="1">
      <alignment horizontal="right"/>
    </xf>
    <xf numFmtId="9" fontId="8" fillId="42" borderId="0" xfId="0" applyNumberFormat="1" applyFont="1" applyFill="1" applyBorder="1" applyAlignment="1">
      <alignment horizontal="center" wrapText="1"/>
    </xf>
    <xf numFmtId="0" fontId="11" fillId="0" borderId="0" xfId="2" applyFill="1"/>
    <xf numFmtId="0" fontId="8" fillId="0" borderId="0" xfId="0" applyFont="1" applyBorder="1" applyAlignment="1">
      <alignment horizontal="right" wrapText="1"/>
    </xf>
    <xf numFmtId="0" fontId="7" fillId="0" borderId="0" xfId="0" applyFont="1" applyFill="1" applyBorder="1" applyAlignment="1">
      <alignment horizontal="right"/>
    </xf>
    <xf numFmtId="9" fontId="8" fillId="0" borderId="0" xfId="0" applyNumberFormat="1" applyFont="1" applyFill="1" applyBorder="1" applyAlignment="1">
      <alignment horizontal="center"/>
    </xf>
    <xf numFmtId="0" fontId="8" fillId="44" borderId="0" xfId="0" applyFont="1" applyFill="1" applyBorder="1" applyAlignment="1">
      <alignment horizontal="right" wrapText="1"/>
    </xf>
    <xf numFmtId="9" fontId="8" fillId="42" borderId="0" xfId="0" applyNumberFormat="1" applyFont="1" applyFill="1" applyBorder="1" applyAlignment="1">
      <alignment horizontal="center"/>
    </xf>
    <xf numFmtId="9" fontId="8" fillId="0" borderId="0" xfId="0" applyNumberFormat="1" applyFont="1" applyFill="1" applyBorder="1" applyAlignment="1">
      <alignment horizontal="center" wrapText="1"/>
    </xf>
    <xf numFmtId="0" fontId="18" fillId="0" borderId="0" xfId="0" applyFont="1" applyBorder="1" applyAlignment="1">
      <alignment horizontal="center"/>
    </xf>
    <xf numFmtId="0" fontId="58" fillId="0" borderId="0" xfId="0" applyFont="1" applyAlignment="1">
      <alignment horizontal="center" wrapText="1"/>
    </xf>
    <xf numFmtId="0" fontId="7" fillId="0" borderId="0" xfId="0" applyFont="1" applyBorder="1" applyAlignment="1">
      <alignment horizontal="center" wrapText="1"/>
    </xf>
    <xf numFmtId="6" fontId="8" fillId="0" borderId="0" xfId="0" applyNumberFormat="1" applyFont="1" applyFill="1" applyBorder="1" applyAlignment="1">
      <alignment horizontal="center"/>
    </xf>
    <xf numFmtId="0" fontId="57" fillId="0" borderId="12" xfId="0" applyFont="1" applyBorder="1" applyAlignment="1">
      <alignment horizontal="center"/>
    </xf>
    <xf numFmtId="0" fontId="2" fillId="6" borderId="0" xfId="0" applyFont="1" applyFill="1" applyAlignment="1">
      <alignment horizontal="center"/>
    </xf>
    <xf numFmtId="0" fontId="3" fillId="45" borderId="0" xfId="0" applyFont="1" applyFill="1" applyAlignment="1">
      <alignment horizontal="center"/>
    </xf>
    <xf numFmtId="10" fontId="49" fillId="6" borderId="6" xfId="0" applyNumberFormat="1" applyFont="1" applyFill="1" applyBorder="1" applyAlignment="1">
      <alignment horizontal="left"/>
    </xf>
    <xf numFmtId="9" fontId="7" fillId="0" borderId="0" xfId="0" applyNumberFormat="1" applyFont="1" applyFill="1" applyBorder="1" applyAlignment="1">
      <alignment horizontal="center" wrapText="1"/>
    </xf>
    <xf numFmtId="9" fontId="7" fillId="42" borderId="0" xfId="0" applyNumberFormat="1" applyFont="1" applyFill="1" applyBorder="1" applyAlignment="1">
      <alignment horizontal="center" wrapText="1"/>
    </xf>
    <xf numFmtId="10" fontId="13" fillId="3" borderId="24" xfId="0" applyNumberFormat="1" applyFont="1" applyFill="1" applyBorder="1" applyAlignment="1">
      <alignment horizontal="center" wrapText="1"/>
    </xf>
    <xf numFmtId="10" fontId="13" fillId="3" borderId="28" xfId="0" applyNumberFormat="1" applyFont="1" applyFill="1" applyBorder="1" applyAlignment="1">
      <alignment horizontal="center" wrapText="1"/>
    </xf>
    <xf numFmtId="9" fontId="44" fillId="0" borderId="6" xfId="1" applyFont="1" applyBorder="1" applyAlignment="1">
      <alignment vertical="center" wrapText="1"/>
    </xf>
    <xf numFmtId="9" fontId="44" fillId="0" borderId="27" xfId="0" applyNumberFormat="1" applyFont="1" applyFill="1" applyBorder="1" applyAlignment="1">
      <alignment horizontal="left" wrapText="1"/>
    </xf>
    <xf numFmtId="9" fontId="44" fillId="0" borderId="12" xfId="0" applyNumberFormat="1" applyFont="1" applyFill="1" applyBorder="1" applyAlignment="1">
      <alignment horizontal="left" wrapText="1"/>
    </xf>
    <xf numFmtId="9" fontId="44" fillId="0" borderId="26" xfId="0" applyNumberFormat="1" applyFont="1" applyFill="1" applyBorder="1" applyAlignment="1">
      <alignment horizontal="left" wrapText="1"/>
    </xf>
    <xf numFmtId="10" fontId="13" fillId="3" borderId="9" xfId="0" applyNumberFormat="1" applyFont="1" applyFill="1" applyBorder="1" applyAlignment="1">
      <alignment horizontal="center" wrapText="1"/>
    </xf>
    <xf numFmtId="10" fontId="13" fillId="3" borderId="0" xfId="0" applyNumberFormat="1" applyFont="1" applyFill="1" applyBorder="1" applyAlignment="1">
      <alignment horizontal="center" wrapText="1"/>
    </xf>
    <xf numFmtId="10" fontId="13" fillId="3" borderId="10" xfId="0" applyNumberFormat="1" applyFont="1" applyFill="1" applyBorder="1" applyAlignment="1">
      <alignment horizontal="center" wrapText="1"/>
    </xf>
    <xf numFmtId="164" fontId="44" fillId="0" borderId="7" xfId="0" applyNumberFormat="1" applyFont="1" applyBorder="1" applyAlignment="1">
      <alignment horizontal="left" wrapText="1"/>
    </xf>
    <xf numFmtId="164" fontId="44" fillId="0" borderId="25" xfId="0" applyNumberFormat="1" applyFont="1" applyBorder="1" applyAlignment="1">
      <alignment horizontal="left" wrapText="1"/>
    </xf>
    <xf numFmtId="164" fontId="44" fillId="0" borderId="23" xfId="0" applyNumberFormat="1" applyFont="1" applyBorder="1" applyAlignment="1">
      <alignment horizontal="left" wrapText="1"/>
    </xf>
    <xf numFmtId="164" fontId="44" fillId="0" borderId="7" xfId="0" applyNumberFormat="1" applyFont="1" applyBorder="1" applyAlignment="1">
      <alignment wrapText="1"/>
    </xf>
    <xf numFmtId="164" fontId="44" fillId="0" borderId="25" xfId="0" applyNumberFormat="1" applyFont="1" applyBorder="1" applyAlignment="1">
      <alignment wrapText="1"/>
    </xf>
    <xf numFmtId="164" fontId="44" fillId="0" borderId="23" xfId="0" applyNumberFormat="1" applyFont="1" applyBorder="1" applyAlignment="1">
      <alignment wrapText="1"/>
    </xf>
    <xf numFmtId="10" fontId="13" fillId="3" borderId="6" xfId="0" applyNumberFormat="1" applyFont="1" applyFill="1" applyBorder="1" applyAlignment="1">
      <alignment horizontal="center" wrapText="1"/>
    </xf>
    <xf numFmtId="0" fontId="45" fillId="0" borderId="6" xfId="0" applyFont="1" applyBorder="1" applyAlignment="1">
      <alignment horizontal="center" wrapText="1"/>
    </xf>
    <xf numFmtId="9" fontId="44" fillId="0" borderId="7" xfId="0" applyNumberFormat="1" applyFont="1" applyFill="1" applyBorder="1" applyAlignment="1">
      <alignment horizontal="left" wrapText="1"/>
    </xf>
    <xf numFmtId="9" fontId="44" fillId="0" borderId="25" xfId="0" applyNumberFormat="1" applyFont="1" applyFill="1" applyBorder="1" applyAlignment="1">
      <alignment horizontal="left" wrapText="1"/>
    </xf>
    <xf numFmtId="9" fontId="44" fillId="0" borderId="23" xfId="0" applyNumberFormat="1" applyFont="1" applyFill="1" applyBorder="1" applyAlignment="1">
      <alignment horizontal="left" wrapText="1"/>
    </xf>
    <xf numFmtId="10" fontId="13" fillId="3" borderId="7" xfId="0" applyNumberFormat="1" applyFont="1" applyFill="1" applyBorder="1" applyAlignment="1">
      <alignment horizontal="center" wrapText="1"/>
    </xf>
    <xf numFmtId="10" fontId="13" fillId="3" borderId="25" xfId="0" applyNumberFormat="1" applyFont="1" applyFill="1" applyBorder="1" applyAlignment="1">
      <alignment horizontal="center" wrapText="1"/>
    </xf>
    <xf numFmtId="10" fontId="13" fillId="3" borderId="23" xfId="0" applyNumberFormat="1" applyFont="1" applyFill="1" applyBorder="1" applyAlignment="1">
      <alignment horizontal="center" wrapText="1"/>
    </xf>
    <xf numFmtId="10" fontId="12" fillId="3" borderId="7" xfId="0" applyNumberFormat="1" applyFont="1" applyFill="1" applyBorder="1" applyAlignment="1">
      <alignment horizontal="center" wrapText="1"/>
    </xf>
    <xf numFmtId="10" fontId="12" fillId="3" borderId="25" xfId="0" applyNumberFormat="1" applyFont="1" applyFill="1" applyBorder="1" applyAlignment="1">
      <alignment horizontal="center" wrapText="1"/>
    </xf>
    <xf numFmtId="10" fontId="12" fillId="3" borderId="23" xfId="0" applyNumberFormat="1" applyFont="1" applyFill="1" applyBorder="1" applyAlignment="1">
      <alignment horizontal="center" wrapText="1"/>
    </xf>
    <xf numFmtId="0" fontId="44" fillId="0" borderId="24" xfId="0" applyFont="1" applyFill="1" applyBorder="1" applyAlignment="1">
      <alignment horizontal="center" wrapText="1"/>
    </xf>
    <xf numFmtId="0" fontId="44" fillId="0" borderId="13" xfId="0" applyFont="1" applyFill="1" applyBorder="1" applyAlignment="1">
      <alignment horizontal="center" wrapText="1"/>
    </xf>
    <xf numFmtId="0" fontId="44" fillId="0" borderId="28" xfId="0" applyFont="1" applyFill="1" applyBorder="1" applyAlignment="1">
      <alignment horizontal="center" wrapText="1"/>
    </xf>
    <xf numFmtId="0" fontId="48" fillId="0" borderId="7" xfId="3" applyFont="1" applyBorder="1" applyAlignment="1" applyProtection="1">
      <alignment horizontal="center" wrapText="1"/>
    </xf>
    <xf numFmtId="0" fontId="48" fillId="0" borderId="25" xfId="3" applyFont="1" applyBorder="1" applyAlignment="1" applyProtection="1">
      <alignment horizontal="center" wrapText="1"/>
    </xf>
    <xf numFmtId="0" fontId="48" fillId="0" borderId="23" xfId="3" applyFont="1" applyBorder="1" applyAlignment="1" applyProtection="1">
      <alignment horizontal="center" wrapText="1"/>
    </xf>
    <xf numFmtId="10" fontId="12" fillId="3" borderId="6" xfId="0" applyNumberFormat="1" applyFont="1" applyFill="1" applyBorder="1" applyAlignment="1">
      <alignment horizontal="center" wrapText="1"/>
    </xf>
    <xf numFmtId="165" fontId="44" fillId="0" borderId="6" xfId="0" applyNumberFormat="1" applyFont="1" applyBorder="1" applyAlignment="1">
      <alignment horizontal="left" wrapText="1"/>
    </xf>
    <xf numFmtId="0" fontId="44" fillId="0" borderId="7" xfId="0" applyFont="1" applyBorder="1" applyAlignment="1">
      <alignment horizontal="center" wrapText="1"/>
    </xf>
    <xf numFmtId="0" fontId="44" fillId="0" borderId="25" xfId="0" applyFont="1" applyBorder="1" applyAlignment="1">
      <alignment horizontal="center" wrapText="1"/>
    </xf>
    <xf numFmtId="0" fontId="44" fillId="0" borderId="23" xfId="0" applyFont="1" applyBorder="1" applyAlignment="1">
      <alignment horizontal="center" wrapText="1"/>
    </xf>
    <xf numFmtId="3" fontId="44" fillId="0" borderId="6" xfId="0" applyNumberFormat="1" applyFont="1" applyFill="1" applyBorder="1" applyAlignment="1">
      <alignment wrapText="1"/>
    </xf>
    <xf numFmtId="164" fontId="44" fillId="0" borderId="6" xfId="0" applyNumberFormat="1" applyFont="1" applyFill="1" applyBorder="1" applyAlignment="1">
      <alignment wrapText="1"/>
    </xf>
    <xf numFmtId="9" fontId="44" fillId="0" borderId="29" xfId="0" applyNumberFormat="1" applyFont="1" applyFill="1" applyBorder="1" applyAlignment="1">
      <alignment vertical="top" wrapText="1"/>
    </xf>
    <xf numFmtId="9" fontId="44" fillId="0" borderId="8" xfId="0" applyNumberFormat="1" applyFont="1" applyFill="1" applyBorder="1" applyAlignment="1">
      <alignment vertical="top" wrapText="1"/>
    </xf>
    <xf numFmtId="9" fontId="44" fillId="0" borderId="29" xfId="0" applyNumberFormat="1" applyFont="1" applyFill="1" applyBorder="1" applyAlignment="1">
      <alignment horizontal="left" vertical="top" wrapText="1"/>
    </xf>
    <xf numFmtId="9" fontId="44" fillId="0" borderId="8" xfId="0" applyNumberFormat="1" applyFont="1" applyFill="1" applyBorder="1" applyAlignment="1">
      <alignment horizontal="left" vertical="top" wrapText="1"/>
    </xf>
    <xf numFmtId="0" fontId="0" fillId="0" borderId="12" xfId="0" applyBorder="1" applyAlignment="1">
      <alignment horizontal="center"/>
    </xf>
    <xf numFmtId="0" fontId="3" fillId="0" borderId="13" xfId="0" applyFont="1" applyBorder="1" applyAlignment="1">
      <alignment horizontal="center"/>
    </xf>
    <xf numFmtId="0" fontId="7" fillId="46" borderId="0" xfId="0" applyFont="1" applyFill="1" applyAlignment="1">
      <alignment horizontal="center"/>
    </xf>
  </cellXfs>
  <cellStyles count="101">
    <cellStyle name="20% - Accent1 2" xfId="9"/>
    <cellStyle name="20% - Accent2 2" xfId="10"/>
    <cellStyle name="20% - Accent3 2" xfId="11"/>
    <cellStyle name="20% - Accent4 2" xfId="12"/>
    <cellStyle name="20% - Accent5 2" xfId="13"/>
    <cellStyle name="20% - Accent6 2" xfId="14"/>
    <cellStyle name="40% - Accent1 2" xfId="15"/>
    <cellStyle name="40% - Accent2 2" xfId="16"/>
    <cellStyle name="40% - Accent3 2" xfId="17"/>
    <cellStyle name="40% - Accent4 2" xfId="18"/>
    <cellStyle name="40% - Accent5 2" xfId="19"/>
    <cellStyle name="40% - Accent6 2" xfId="20"/>
    <cellStyle name="60% - Accent1 2" xfId="21"/>
    <cellStyle name="60% - Accent2 2" xfId="22"/>
    <cellStyle name="60% - Accent3 2" xfId="23"/>
    <cellStyle name="60% - Accent4 2" xfId="24"/>
    <cellStyle name="60% - Accent5 2" xfId="25"/>
    <cellStyle name="60% - Accent6 2" xfId="26"/>
    <cellStyle name="Accent1 2" xfId="27"/>
    <cellStyle name="Accent2 2" xfId="28"/>
    <cellStyle name="Accent3 2" xfId="29"/>
    <cellStyle name="Accent4 2" xfId="30"/>
    <cellStyle name="Accent5 2" xfId="31"/>
    <cellStyle name="Accent6 2" xfId="32"/>
    <cellStyle name="Bad 2" xfId="33"/>
    <cellStyle name="Calculation 2" xfId="34"/>
    <cellStyle name="Check Cell" xfId="4" builtinId="23"/>
    <cellStyle name="Check Cell 2" xfId="35"/>
    <cellStyle name="Comma 2" xfId="8"/>
    <cellStyle name="Comma 3" xfId="7"/>
    <cellStyle name="Currency" xfId="93" builtinId="4"/>
    <cellStyle name="Currency 2" xfId="98"/>
    <cellStyle name="Explanatory Text 2" xfId="36"/>
    <cellStyle name="Good 2" xfId="37"/>
    <cellStyle name="Heading 1 2" xfId="38"/>
    <cellStyle name="Heading 2 2" xfId="39"/>
    <cellStyle name="Heading 3 2" xfId="40"/>
    <cellStyle name="Heading 4 2" xfId="41"/>
    <cellStyle name="Hyperlink" xfId="3" builtinId="8"/>
    <cellStyle name="Input 2" xfId="42"/>
    <cellStyle name="Linked Cell 2" xfId="43"/>
    <cellStyle name="Neutral 2" xfId="44"/>
    <cellStyle name="Normal" xfId="0" builtinId="0"/>
    <cellStyle name="Normal 119" xfId="45"/>
    <cellStyle name="Normal 120" xfId="46"/>
    <cellStyle name="Normal 121" xfId="47"/>
    <cellStyle name="Normal 122" xfId="48"/>
    <cellStyle name="Normal 123" xfId="49"/>
    <cellStyle name="Normal 124" xfId="50"/>
    <cellStyle name="Normal 125" xfId="51"/>
    <cellStyle name="Normal 126" xfId="52"/>
    <cellStyle name="Normal 127" xfId="53"/>
    <cellStyle name="Normal 128" xfId="54"/>
    <cellStyle name="Normal 129" xfId="55"/>
    <cellStyle name="Normal 130" xfId="56"/>
    <cellStyle name="Normal 131" xfId="57"/>
    <cellStyle name="Normal 132" xfId="58"/>
    <cellStyle name="Normal 133" xfId="59"/>
    <cellStyle name="Normal 134" xfId="60"/>
    <cellStyle name="Normal 135" xfId="61"/>
    <cellStyle name="Normal 136" xfId="62"/>
    <cellStyle name="Normal 137" xfId="63"/>
    <cellStyle name="Normal 138" xfId="64"/>
    <cellStyle name="Normal 139" xfId="65"/>
    <cellStyle name="Normal 140" xfId="66"/>
    <cellStyle name="Normal 141" xfId="67"/>
    <cellStyle name="Normal 142" xfId="68"/>
    <cellStyle name="Normal 143" xfId="69"/>
    <cellStyle name="Normal 144" xfId="70"/>
    <cellStyle name="Normal 145" xfId="71"/>
    <cellStyle name="Normal 146" xfId="72"/>
    <cellStyle name="Normal 147" xfId="73"/>
    <cellStyle name="Normal 148" xfId="74"/>
    <cellStyle name="Normal 149" xfId="75"/>
    <cellStyle name="Normal 2" xfId="2"/>
    <cellStyle name="Normal 2 2" xfId="96"/>
    <cellStyle name="Normal 3" xfId="6"/>
    <cellStyle name="Normal 4" xfId="94"/>
    <cellStyle name="Normal 5" xfId="76"/>
    <cellStyle name="Normal 6" xfId="97"/>
    <cellStyle name="Normal 6 2" xfId="99"/>
    <cellStyle name="Normal 7" xfId="100"/>
    <cellStyle name="Note 2" xfId="77"/>
    <cellStyle name="Note 2 2" xfId="78"/>
    <cellStyle name="Note 3" xfId="79"/>
    <cellStyle name="Note 3 2" xfId="80"/>
    <cellStyle name="Note 4" xfId="81"/>
    <cellStyle name="Note 4 2" xfId="82"/>
    <cellStyle name="Note 5" xfId="83"/>
    <cellStyle name="Note 5 2" xfId="84"/>
    <cellStyle name="Note 6" xfId="85"/>
    <cellStyle name="Note 6 2" xfId="86"/>
    <cellStyle name="Output 2" xfId="87"/>
    <cellStyle name="Percent" xfId="1" builtinId="5"/>
    <cellStyle name="Percent 115" xfId="89"/>
    <cellStyle name="Percent 116" xfId="90"/>
    <cellStyle name="Percent 2" xfId="88"/>
    <cellStyle name="Percent 3" xfId="95"/>
    <cellStyle name="Title" xfId="5" builtinId="15" customBuiltin="1"/>
    <cellStyle name="Total 2" xfId="91"/>
    <cellStyle name="Warning Text 2" xfId="92"/>
  </cellStyles>
  <dxfs count="16">
    <dxf>
      <numFmt numFmtId="165" formatCode="&quot;$&quot;#,##0"/>
      <border diagonalUp="0" diagonalDown="0">
        <left style="thin">
          <color indexed="64"/>
        </left>
        <right style="thin">
          <color indexed="64"/>
        </right>
        <top style="thin">
          <color indexed="64"/>
        </top>
        <bottom style="thin">
          <color indexed="64"/>
        </bottom>
        <vertical/>
        <horizontal/>
      </border>
    </dxf>
    <dxf>
      <numFmt numFmtId="3" formatCode="#,##0"/>
      <border diagonalUp="0" diagonalDown="0">
        <left style="thin">
          <color indexed="64"/>
        </left>
        <right style="thin">
          <color indexed="64"/>
        </right>
        <top style="thin">
          <color indexed="64"/>
        </top>
        <bottom style="thin">
          <color indexed="64"/>
        </bottom>
        <vertical/>
        <horizontal/>
      </border>
    </dxf>
    <dxf>
      <numFmt numFmtId="165" formatCode="&quot;$&quot;#,##0"/>
      <border diagonalUp="0" diagonalDown="0" outline="0">
        <left style="thin">
          <color indexed="64"/>
        </left>
        <right style="thin">
          <color indexed="64"/>
        </right>
        <top style="thin">
          <color indexed="64"/>
        </top>
        <bottom style="thin">
          <color indexed="64"/>
        </bottom>
      </border>
    </dxf>
    <dxf>
      <numFmt numFmtId="14" formatCode="0.00%"/>
      <border diagonalUp="0" diagonalDown="0" outline="0">
        <left style="thin">
          <color indexed="64"/>
        </left>
        <right style="thin">
          <color indexed="64"/>
        </right>
        <top style="thin">
          <color indexed="64"/>
        </top>
        <bottom style="thin">
          <color indexed="64"/>
        </bottom>
      </border>
    </dxf>
    <dxf>
      <numFmt numFmtId="3" formatCode="#,##0"/>
      <border diagonalUp="0" diagonalDown="0" outline="0">
        <left style="thin">
          <color indexed="64"/>
        </left>
        <right style="thin">
          <color indexed="64"/>
        </right>
        <top style="thin">
          <color indexed="64"/>
        </top>
        <bottom style="thin">
          <color indexed="64"/>
        </bottom>
      </border>
    </dxf>
    <dxf>
      <numFmt numFmtId="3" formatCode="#,##0"/>
      <border diagonalUp="0" diagonalDown="0" outline="0">
        <left style="thin">
          <color indexed="64"/>
        </left>
        <right style="thin">
          <color indexed="64"/>
        </right>
        <top style="thin">
          <color indexed="64"/>
        </top>
        <bottom style="thin">
          <color indexed="64"/>
        </bottom>
      </border>
    </dxf>
    <dxf>
      <numFmt numFmtId="14" formatCode="0.00%"/>
      <border diagonalUp="0" diagonalDown="0" outline="0">
        <left style="thin">
          <color indexed="64"/>
        </left>
        <right style="thin">
          <color indexed="64"/>
        </right>
        <top style="thin">
          <color indexed="64"/>
        </top>
        <bottom style="thin">
          <color indexed="64"/>
        </bottom>
      </border>
    </dxf>
    <dxf>
      <numFmt numFmtId="3" formatCode="#,##0"/>
      <border diagonalUp="0" diagonalDown="0" outline="0">
        <left style="thin">
          <color indexed="64"/>
        </left>
        <right style="thin">
          <color indexed="64"/>
        </right>
        <top style="thin">
          <color indexed="64"/>
        </top>
        <bottom style="thin">
          <color indexed="64"/>
        </bottom>
      </border>
    </dxf>
    <dxf>
      <numFmt numFmtId="3" formatCode="#,##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auto="1"/>
        <name val="Arial"/>
        <scheme val="none"/>
      </font>
      <border diagonalUp="0" diagonalDown="0">
        <left style="thin">
          <color indexed="64"/>
        </left>
        <right style="thin">
          <color indexed="64"/>
        </right>
        <top style="thin">
          <color indexed="64"/>
        </top>
        <bottom style="thin">
          <color indexed="64"/>
        </bottom>
        <vertical/>
        <horizontal/>
      </border>
    </dxf>
    <dxf>
      <border outline="0">
        <right style="thin">
          <color indexed="64"/>
        </right>
      </border>
    </dxf>
    <dxf>
      <font>
        <b/>
        <i val="0"/>
        <condense val="0"/>
        <extend val="0"/>
      </font>
      <fill>
        <patternFill>
          <bgColor indexed="10"/>
        </patternFill>
      </fill>
    </dxf>
    <dxf>
      <font>
        <b/>
        <i val="0"/>
        <condense val="0"/>
        <extend val="0"/>
      </font>
      <fill>
        <patternFill>
          <bgColor indexed="10"/>
        </patternFill>
      </fill>
    </dxf>
    <dxf>
      <font>
        <b/>
        <i val="0"/>
        <condense val="0"/>
        <extend val="0"/>
      </font>
      <fill>
        <patternFill>
          <bgColor indexed="10"/>
        </patternFill>
      </fill>
    </dxf>
    <dxf>
      <font>
        <b/>
        <i val="0"/>
        <condense val="0"/>
        <extend val="0"/>
      </font>
      <fill>
        <patternFill>
          <bgColor indexed="10"/>
        </patternFill>
      </fill>
    </dxf>
    <dxf>
      <font>
        <b/>
        <i val="0"/>
        <condense val="0"/>
        <extend val="0"/>
      </font>
      <fill>
        <patternFill>
          <bgColor indexed="10"/>
        </patternFill>
      </fill>
    </dxf>
  </dxfs>
  <tableStyles count="0" defaultTableStyle="TableStyleMedium9" defaultPivotStyle="PivotStyleLight16"/>
  <colors>
    <mruColors>
      <color rgb="FFF7B229"/>
      <color rgb="FFFFFF09"/>
      <color rgb="FFFFFF66"/>
      <color rgb="FFB5170B"/>
      <color rgb="FFCC33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pivotCacheDefinition" Target="pivotCache/pivotCacheDefinition1.xml"/><Relationship Id="rId26" Type="http://schemas.openxmlformats.org/officeDocument/2006/relationships/pivotCacheDefinition" Target="pivotCache/pivotCacheDefinition9.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pivotCacheDefinition" Target="pivotCache/pivotCacheDefinition4.xml"/><Relationship Id="rId34" Type="http://schemas.openxmlformats.org/officeDocument/2006/relationships/pivotCacheDefinition" Target="pivotCache/pivotCacheDefinition17.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pivotCacheDefinition" Target="pivotCache/pivotCacheDefinition8.xml"/><Relationship Id="rId33" Type="http://schemas.openxmlformats.org/officeDocument/2006/relationships/pivotCacheDefinition" Target="pivotCache/pivotCacheDefinition16.xml"/><Relationship Id="rId38" Type="http://schemas.openxmlformats.org/officeDocument/2006/relationships/pivotCacheDefinition" Target="pivotCache/pivotCacheDefinition21.xml"/><Relationship Id="rId46"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pivotCacheDefinition" Target="pivotCache/pivotCacheDefinition3.xml"/><Relationship Id="rId29" Type="http://schemas.openxmlformats.org/officeDocument/2006/relationships/pivotCacheDefinition" Target="pivotCache/pivotCacheDefinition12.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pivotCacheDefinition" Target="pivotCache/pivotCacheDefinition7.xml"/><Relationship Id="rId32" Type="http://schemas.openxmlformats.org/officeDocument/2006/relationships/pivotCacheDefinition" Target="pivotCache/pivotCacheDefinition15.xml"/><Relationship Id="rId37" Type="http://schemas.openxmlformats.org/officeDocument/2006/relationships/pivotCacheDefinition" Target="pivotCache/pivotCacheDefinition20.xml"/><Relationship Id="rId40" Type="http://schemas.openxmlformats.org/officeDocument/2006/relationships/connections" Target="connections.xml"/><Relationship Id="rId45"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pivotCacheDefinition" Target="pivotCache/pivotCacheDefinition6.xml"/><Relationship Id="rId28" Type="http://schemas.openxmlformats.org/officeDocument/2006/relationships/pivotCacheDefinition" Target="pivotCache/pivotCacheDefinition11.xml"/><Relationship Id="rId36" Type="http://schemas.openxmlformats.org/officeDocument/2006/relationships/pivotCacheDefinition" Target="pivotCache/pivotCacheDefinition19.xml"/><Relationship Id="rId10" Type="http://schemas.openxmlformats.org/officeDocument/2006/relationships/worksheet" Target="worksheets/sheet10.xml"/><Relationship Id="rId19" Type="http://schemas.openxmlformats.org/officeDocument/2006/relationships/pivotCacheDefinition" Target="pivotCache/pivotCacheDefinition2.xml"/><Relationship Id="rId31" Type="http://schemas.openxmlformats.org/officeDocument/2006/relationships/pivotCacheDefinition" Target="pivotCache/pivotCacheDefinition14.xml"/><Relationship Id="rId4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pivotCacheDefinition" Target="pivotCache/pivotCacheDefinition5.xml"/><Relationship Id="rId27" Type="http://schemas.openxmlformats.org/officeDocument/2006/relationships/pivotCacheDefinition" Target="pivotCache/pivotCacheDefinition10.xml"/><Relationship Id="rId30" Type="http://schemas.openxmlformats.org/officeDocument/2006/relationships/pivotCacheDefinition" Target="pivotCache/pivotCacheDefinition13.xml"/><Relationship Id="rId35" Type="http://schemas.openxmlformats.org/officeDocument/2006/relationships/pivotCacheDefinition" Target="pivotCache/pivotCacheDefinition18.xml"/><Relationship Id="rId43" Type="http://schemas.openxmlformats.org/officeDocument/2006/relationships/calcChain" Target="calcChain.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01838478893323"/>
          <c:y val="5.7466863443974163E-2"/>
          <c:w val="0.70869218917791466"/>
          <c:h val="0.84063265760749872"/>
        </c:manualLayout>
      </c:layout>
      <c:barChart>
        <c:barDir val="bar"/>
        <c:grouping val="clustered"/>
        <c:varyColors val="0"/>
        <c:ser>
          <c:idx val="1"/>
          <c:order val="0"/>
          <c:spPr>
            <a:gradFill flip="none" rotWithShape="1">
              <a:gsLst>
                <a:gs pos="0">
                  <a:srgbClr val="1F497D">
                    <a:lumMod val="60000"/>
                    <a:lumOff val="40000"/>
                    <a:shade val="30000"/>
                    <a:satMod val="115000"/>
                  </a:srgbClr>
                </a:gs>
                <a:gs pos="50000">
                  <a:srgbClr val="1F497D">
                    <a:lumMod val="60000"/>
                    <a:lumOff val="40000"/>
                    <a:shade val="67500"/>
                    <a:satMod val="115000"/>
                  </a:srgbClr>
                </a:gs>
                <a:gs pos="100000">
                  <a:srgbClr val="1F497D">
                    <a:lumMod val="60000"/>
                    <a:lumOff val="40000"/>
                    <a:shade val="100000"/>
                    <a:satMod val="115000"/>
                  </a:srgbClr>
                </a:gs>
              </a:gsLst>
              <a:lin ang="5400000" scaled="1"/>
              <a:tileRect/>
            </a:gradFill>
            <a:effectLst>
              <a:outerShdw blurRad="50800" dist="38100" dir="2700000" algn="tl" rotWithShape="0">
                <a:prstClr val="black">
                  <a:alpha val="40000"/>
                </a:prstClr>
              </a:outerShdw>
            </a:effectLst>
          </c:spPr>
          <c:invertIfNegative val="0"/>
          <c:dLbls>
            <c:txPr>
              <a:bodyPr/>
              <a:lstStyle/>
              <a:p>
                <a:pPr>
                  <a:defRPr sz="1200"/>
                </a:pPr>
                <a:endParaRPr lang="en-US"/>
              </a:p>
            </c:txPr>
            <c:showLegendKey val="0"/>
            <c:showVal val="1"/>
            <c:showCatName val="0"/>
            <c:showSerName val="0"/>
            <c:showPercent val="0"/>
            <c:showBubbleSize val="0"/>
            <c:showLeaderLines val="0"/>
          </c:dLbls>
          <c:cat>
            <c:strRef>
              <c:f>'Area Data'!$B$15:$B$18</c:f>
              <c:strCache>
                <c:ptCount val="4"/>
                <c:pt idx="0">
                  <c:v>Job Search Assistance</c:v>
                </c:pt>
                <c:pt idx="1">
                  <c:v>Assessment </c:v>
                </c:pt>
                <c:pt idx="2">
                  <c:v>Skill Development</c:v>
                </c:pt>
                <c:pt idx="3">
                  <c:v>Referral to Community Services</c:v>
                </c:pt>
              </c:strCache>
            </c:strRef>
          </c:cat>
          <c:val>
            <c:numRef>
              <c:f>'Area Data'!$C$15:$C$18</c:f>
              <c:numCache>
                <c:formatCode>#,##0</c:formatCode>
                <c:ptCount val="4"/>
                <c:pt idx="0">
                  <c:v>4548</c:v>
                </c:pt>
                <c:pt idx="1">
                  <c:v>2678</c:v>
                </c:pt>
                <c:pt idx="2">
                  <c:v>471</c:v>
                </c:pt>
                <c:pt idx="3">
                  <c:v>57</c:v>
                </c:pt>
              </c:numCache>
            </c:numRef>
          </c:val>
        </c:ser>
        <c:ser>
          <c:idx val="0"/>
          <c:order val="1"/>
          <c:invertIfNegative val="0"/>
          <c:dLbls>
            <c:txPr>
              <a:bodyPr/>
              <a:lstStyle/>
              <a:p>
                <a:pPr>
                  <a:defRPr sz="1100"/>
                </a:pPr>
                <a:endParaRPr lang="en-US"/>
              </a:p>
            </c:txPr>
            <c:showLegendKey val="0"/>
            <c:showVal val="1"/>
            <c:showCatName val="0"/>
            <c:showSerName val="0"/>
            <c:showPercent val="0"/>
            <c:showBubbleSize val="0"/>
            <c:showLeaderLines val="0"/>
          </c:dLbls>
          <c:cat>
            <c:strRef>
              <c:f>'Area Data'!$B$15:$B$18</c:f>
              <c:strCache>
                <c:ptCount val="4"/>
                <c:pt idx="0">
                  <c:v>Job Search Assistance</c:v>
                </c:pt>
                <c:pt idx="1">
                  <c:v>Assessment </c:v>
                </c:pt>
                <c:pt idx="2">
                  <c:v>Skill Development</c:v>
                </c:pt>
                <c:pt idx="3">
                  <c:v>Referral to Community Services</c:v>
                </c:pt>
              </c:strCache>
            </c:strRef>
          </c:cat>
          <c:val>
            <c:numRef>
              <c:f>'Area Data'!$D$15:$D$18</c:f>
              <c:numCache>
                <c:formatCode>0%</c:formatCode>
                <c:ptCount val="4"/>
                <c:pt idx="0">
                  <c:v>0.79164490861618797</c:v>
                </c:pt>
                <c:pt idx="1">
                  <c:v>0.4661444734551784</c:v>
                </c:pt>
                <c:pt idx="2">
                  <c:v>8.1984334203655349E-2</c:v>
                </c:pt>
                <c:pt idx="3">
                  <c:v>9.921671018276762E-3</c:v>
                </c:pt>
              </c:numCache>
            </c:numRef>
          </c:val>
        </c:ser>
        <c:dLbls>
          <c:showLegendKey val="0"/>
          <c:showVal val="1"/>
          <c:showCatName val="0"/>
          <c:showSerName val="0"/>
          <c:showPercent val="0"/>
          <c:showBubbleSize val="0"/>
        </c:dLbls>
        <c:gapWidth val="150"/>
        <c:axId val="139821056"/>
        <c:axId val="139822592"/>
      </c:barChart>
      <c:catAx>
        <c:axId val="139821056"/>
        <c:scaling>
          <c:orientation val="minMax"/>
        </c:scaling>
        <c:delete val="0"/>
        <c:axPos val="l"/>
        <c:numFmt formatCode="General" sourceLinked="1"/>
        <c:majorTickMark val="out"/>
        <c:minorTickMark val="none"/>
        <c:tickLblPos val="nextTo"/>
        <c:txPr>
          <a:bodyPr/>
          <a:lstStyle/>
          <a:p>
            <a:pPr>
              <a:defRPr sz="1400">
                <a:effectLst>
                  <a:outerShdw blurRad="50800" dist="38100" dir="8100000" algn="tr" rotWithShape="0">
                    <a:prstClr val="black">
                      <a:alpha val="40000"/>
                    </a:prstClr>
                  </a:outerShdw>
                </a:effectLst>
              </a:defRPr>
            </a:pPr>
            <a:endParaRPr lang="en-US"/>
          </a:p>
        </c:txPr>
        <c:crossAx val="139822592"/>
        <c:crosses val="autoZero"/>
        <c:auto val="1"/>
        <c:lblAlgn val="ctr"/>
        <c:lblOffset val="100"/>
        <c:noMultiLvlLbl val="0"/>
      </c:catAx>
      <c:valAx>
        <c:axId val="139822592"/>
        <c:scaling>
          <c:orientation val="minMax"/>
        </c:scaling>
        <c:delete val="0"/>
        <c:axPos val="b"/>
        <c:majorGridlines/>
        <c:numFmt formatCode="#,##0" sourceLinked="1"/>
        <c:majorTickMark val="out"/>
        <c:minorTickMark val="none"/>
        <c:tickLblPos val="nextTo"/>
        <c:crossAx val="139821056"/>
        <c:crosses val="autoZero"/>
        <c:crossBetween val="between"/>
        <c:majorUnit val="5000"/>
      </c:valAx>
    </c:plotArea>
    <c:plotVisOnly val="1"/>
    <c:dispBlanksAs val="gap"/>
    <c:showDLblsOverMax val="0"/>
  </c:chart>
  <c:spPr>
    <a:ln>
      <a:noFill/>
    </a:ln>
  </c:spPr>
  <c:printSettings>
    <c:headerFooter/>
    <c:pageMargins b="0.75000000000000921" l="0.70000000000000062" r="0.70000000000000062" t="0.75000000000000921" header="0.30000000000000032" footer="0.30000000000000032"/>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a:pPr>
            <a:r>
              <a:rPr lang="en-US"/>
              <a:t>Program Participants</a:t>
            </a:r>
          </a:p>
        </c:rich>
      </c:tx>
      <c:layout/>
      <c:overlay val="0"/>
    </c:title>
    <c:autoTitleDeleted val="0"/>
    <c:plotArea>
      <c:layout>
        <c:manualLayout>
          <c:layoutTarget val="inner"/>
          <c:xMode val="edge"/>
          <c:yMode val="edge"/>
          <c:x val="0.15263960815742458"/>
          <c:y val="0.20985795107655988"/>
          <c:w val="0.81287916695482665"/>
          <c:h val="0.57991959153585593"/>
        </c:manualLayout>
      </c:layout>
      <c:barChart>
        <c:barDir val="col"/>
        <c:grouping val="clustered"/>
        <c:varyColors val="0"/>
        <c:ser>
          <c:idx val="0"/>
          <c:order val="0"/>
          <c:tx>
            <c:v>1 Year Ago</c:v>
          </c:tx>
          <c:spPr>
            <a:solidFill>
              <a:schemeClr val="lt1"/>
            </a:solidFill>
            <a:ln w="38100" cap="flat" cmpd="sng" algn="ctr">
              <a:solidFill>
                <a:schemeClr val="accent1"/>
              </a:solidFill>
              <a:prstDash val="solid"/>
            </a:ln>
            <a:effectLst/>
          </c:spPr>
          <c:invertIfNegative val="0"/>
          <c:dLbls>
            <c:delete val="1"/>
          </c:dLbls>
          <c:cat>
            <c:strRef>
              <c:f>'State Data'!$B$19:$B$22</c:f>
              <c:strCache>
                <c:ptCount val="4"/>
                <c:pt idx="0">
                  <c:v>Program Participants</c:v>
                </c:pt>
                <c:pt idx="1">
                  <c:v>WIA Participants</c:v>
                </c:pt>
                <c:pt idx="2">
                  <c:v>New WIA Participants</c:v>
                </c:pt>
                <c:pt idx="3">
                  <c:v>WIA Exiters</c:v>
                </c:pt>
              </c:strCache>
            </c:strRef>
          </c:cat>
          <c:val>
            <c:numRef>
              <c:f>'State Data'!$D$19:$D$22</c:f>
              <c:numCache>
                <c:formatCode>#,##0</c:formatCode>
                <c:ptCount val="4"/>
                <c:pt idx="0">
                  <c:v>21898</c:v>
                </c:pt>
                <c:pt idx="1">
                  <c:v>12379</c:v>
                </c:pt>
                <c:pt idx="2">
                  <c:v>1950</c:v>
                </c:pt>
                <c:pt idx="3">
                  <c:v>2653</c:v>
                </c:pt>
              </c:numCache>
            </c:numRef>
          </c:val>
        </c:ser>
        <c:ser>
          <c:idx val="1"/>
          <c:order val="1"/>
          <c:tx>
            <c:v>Current Quarter</c:v>
          </c:tx>
          <c:spPr>
            <a:solidFill>
              <a:schemeClr val="lt1"/>
            </a:solidFill>
            <a:ln w="38100" cap="flat" cmpd="sng" algn="ctr">
              <a:solidFill>
                <a:schemeClr val="accent3"/>
              </a:solidFill>
              <a:prstDash val="solid"/>
            </a:ln>
            <a:effectLst/>
          </c:spPr>
          <c:invertIfNegative val="0"/>
          <c:dLbls>
            <c:txPr>
              <a:bodyPr/>
              <a:lstStyle/>
              <a:p>
                <a:pPr>
                  <a:defRPr sz="1400" b="1"/>
                </a:pPr>
                <a:endParaRPr lang="en-US"/>
              </a:p>
            </c:txPr>
            <c:showLegendKey val="0"/>
            <c:showVal val="1"/>
            <c:showCatName val="0"/>
            <c:showSerName val="0"/>
            <c:showPercent val="0"/>
            <c:showBubbleSize val="0"/>
            <c:showLeaderLines val="0"/>
          </c:dLbls>
          <c:cat>
            <c:strRef>
              <c:f>'State Data'!$B$19:$B$22</c:f>
              <c:strCache>
                <c:ptCount val="4"/>
                <c:pt idx="0">
                  <c:v>Program Participants</c:v>
                </c:pt>
                <c:pt idx="1">
                  <c:v>WIA Participants</c:v>
                </c:pt>
                <c:pt idx="2">
                  <c:v>New WIA Participants</c:v>
                </c:pt>
                <c:pt idx="3">
                  <c:v>WIA Exiters</c:v>
                </c:pt>
              </c:strCache>
            </c:strRef>
          </c:cat>
          <c:val>
            <c:numRef>
              <c:f>'State Data'!$C$19:$C$22</c:f>
              <c:numCache>
                <c:formatCode>#,##0</c:formatCode>
                <c:ptCount val="4"/>
                <c:pt idx="0">
                  <c:v>19141</c:v>
                </c:pt>
                <c:pt idx="1">
                  <c:v>9854</c:v>
                </c:pt>
                <c:pt idx="2">
                  <c:v>1459</c:v>
                </c:pt>
                <c:pt idx="3">
                  <c:v>1846</c:v>
                </c:pt>
              </c:numCache>
            </c:numRef>
          </c:val>
        </c:ser>
        <c:dLbls>
          <c:showLegendKey val="0"/>
          <c:showVal val="1"/>
          <c:showCatName val="0"/>
          <c:showSerName val="0"/>
          <c:showPercent val="0"/>
          <c:showBubbleSize val="0"/>
        </c:dLbls>
        <c:gapWidth val="150"/>
        <c:axId val="141571200"/>
        <c:axId val="141572736"/>
      </c:barChart>
      <c:catAx>
        <c:axId val="141571200"/>
        <c:scaling>
          <c:orientation val="minMax"/>
        </c:scaling>
        <c:delete val="0"/>
        <c:axPos val="b"/>
        <c:numFmt formatCode="General" sourceLinked="1"/>
        <c:majorTickMark val="out"/>
        <c:minorTickMark val="none"/>
        <c:tickLblPos val="nextTo"/>
        <c:txPr>
          <a:bodyPr/>
          <a:lstStyle/>
          <a:p>
            <a:pPr>
              <a:defRPr b="1"/>
            </a:pPr>
            <a:endParaRPr lang="en-US"/>
          </a:p>
        </c:txPr>
        <c:crossAx val="141572736"/>
        <c:crosses val="autoZero"/>
        <c:auto val="1"/>
        <c:lblAlgn val="ctr"/>
        <c:lblOffset val="100"/>
        <c:noMultiLvlLbl val="0"/>
      </c:catAx>
      <c:valAx>
        <c:axId val="141572736"/>
        <c:scaling>
          <c:orientation val="minMax"/>
        </c:scaling>
        <c:delete val="0"/>
        <c:axPos val="l"/>
        <c:majorGridlines/>
        <c:numFmt formatCode="#,##0" sourceLinked="1"/>
        <c:majorTickMark val="out"/>
        <c:minorTickMark val="none"/>
        <c:tickLblPos val="nextTo"/>
        <c:txPr>
          <a:bodyPr/>
          <a:lstStyle/>
          <a:p>
            <a:pPr>
              <a:defRPr b="0"/>
            </a:pPr>
            <a:endParaRPr lang="en-US"/>
          </a:p>
        </c:txPr>
        <c:crossAx val="141571200"/>
        <c:crosses val="autoZero"/>
        <c:crossBetween val="between"/>
      </c:valAx>
    </c:plotArea>
    <c:legend>
      <c:legendPos val="t"/>
      <c:layout>
        <c:manualLayout>
          <c:xMode val="edge"/>
          <c:yMode val="edge"/>
          <c:x val="0.13111041171228491"/>
          <c:y val="0.12243160984257492"/>
          <c:w val="0.70326992005014577"/>
          <c:h val="8.652776182577146E-2"/>
        </c:manualLayout>
      </c:layout>
      <c:overlay val="0"/>
      <c:txPr>
        <a:bodyPr/>
        <a:lstStyle/>
        <a:p>
          <a:pPr>
            <a:defRPr sz="1300"/>
          </a:pPr>
          <a:endParaRPr lang="en-US"/>
        </a:p>
      </c:txPr>
    </c:legend>
    <c:plotVisOnly val="1"/>
    <c:dispBlanksAs val="gap"/>
    <c:showDLblsOverMax val="0"/>
  </c:chart>
  <c:printSettings>
    <c:headerFooter/>
    <c:pageMargins b="0.75000000000000888" l="0.70000000000000062" r="0.70000000000000062" t="0.75000000000000888"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a:pPr>
            <a:r>
              <a:rPr lang="en-US"/>
              <a:t>Employer Services</a:t>
            </a:r>
          </a:p>
        </c:rich>
      </c:tx>
      <c:layout/>
      <c:overlay val="0"/>
    </c:title>
    <c:autoTitleDeleted val="0"/>
    <c:plotArea>
      <c:layout>
        <c:manualLayout>
          <c:layoutTarget val="inner"/>
          <c:xMode val="edge"/>
          <c:yMode val="edge"/>
          <c:x val="0.1116752599927559"/>
          <c:y val="0.25120719578635975"/>
          <c:w val="0.62289599998446465"/>
          <c:h val="0.5950637629978287"/>
        </c:manualLayout>
      </c:layout>
      <c:barChart>
        <c:barDir val="col"/>
        <c:grouping val="clustered"/>
        <c:varyColors val="0"/>
        <c:ser>
          <c:idx val="0"/>
          <c:order val="0"/>
          <c:tx>
            <c:v>1 Year Ago</c:v>
          </c:tx>
          <c:spPr>
            <a:solidFill>
              <a:schemeClr val="lt1"/>
            </a:solidFill>
            <a:ln w="38100" cap="flat" cmpd="sng" algn="ctr">
              <a:solidFill>
                <a:schemeClr val="accent1"/>
              </a:solidFill>
              <a:prstDash val="solid"/>
            </a:ln>
            <a:effectLst/>
          </c:spPr>
          <c:invertIfNegative val="0"/>
          <c:dLbls>
            <c:delete val="1"/>
          </c:dLbls>
          <c:cat>
            <c:strRef>
              <c:f>'Area Data'!$B$25:$B$26</c:f>
              <c:strCache>
                <c:ptCount val="2"/>
                <c:pt idx="0">
                  <c:v>WA Job Openings</c:v>
                </c:pt>
                <c:pt idx="1">
                  <c:v>Employers Served</c:v>
                </c:pt>
              </c:strCache>
            </c:strRef>
          </c:cat>
          <c:val>
            <c:numRef>
              <c:f>'State Data'!$D$24:$D$25</c:f>
              <c:numCache>
                <c:formatCode>#,##0</c:formatCode>
                <c:ptCount val="2"/>
                <c:pt idx="0">
                  <c:v>24179</c:v>
                </c:pt>
                <c:pt idx="1">
                  <c:v>8234</c:v>
                </c:pt>
              </c:numCache>
            </c:numRef>
          </c:val>
        </c:ser>
        <c:ser>
          <c:idx val="1"/>
          <c:order val="1"/>
          <c:tx>
            <c:v>Current Quarter</c:v>
          </c:tx>
          <c:spPr>
            <a:solidFill>
              <a:schemeClr val="lt1"/>
            </a:solidFill>
            <a:ln w="38100" cap="flat" cmpd="sng" algn="ctr">
              <a:solidFill>
                <a:schemeClr val="accent3"/>
              </a:solidFill>
              <a:prstDash val="solid"/>
            </a:ln>
            <a:effectLst/>
          </c:spPr>
          <c:invertIfNegative val="0"/>
          <c:dLbls>
            <c:txPr>
              <a:bodyPr/>
              <a:lstStyle/>
              <a:p>
                <a:pPr>
                  <a:defRPr sz="1400" b="1"/>
                </a:pPr>
                <a:endParaRPr lang="en-US"/>
              </a:p>
            </c:txPr>
            <c:showLegendKey val="0"/>
            <c:showVal val="1"/>
            <c:showCatName val="0"/>
            <c:showSerName val="0"/>
            <c:showPercent val="0"/>
            <c:showBubbleSize val="0"/>
            <c:showLeaderLines val="0"/>
          </c:dLbls>
          <c:cat>
            <c:strRef>
              <c:f>'Area Data'!$B$25:$B$26</c:f>
              <c:strCache>
                <c:ptCount val="2"/>
                <c:pt idx="0">
                  <c:v>WA Job Openings</c:v>
                </c:pt>
                <c:pt idx="1">
                  <c:v>Employers Served</c:v>
                </c:pt>
              </c:strCache>
            </c:strRef>
          </c:cat>
          <c:val>
            <c:numRef>
              <c:f>'State Data'!$C$24:$C$25</c:f>
              <c:numCache>
                <c:formatCode>#,##0</c:formatCode>
                <c:ptCount val="2"/>
                <c:pt idx="0">
                  <c:v>17508</c:v>
                </c:pt>
                <c:pt idx="1">
                  <c:v>7186</c:v>
                </c:pt>
              </c:numCache>
            </c:numRef>
          </c:val>
        </c:ser>
        <c:dLbls>
          <c:showLegendKey val="0"/>
          <c:showVal val="1"/>
          <c:showCatName val="0"/>
          <c:showSerName val="0"/>
          <c:showPercent val="0"/>
          <c:showBubbleSize val="0"/>
        </c:dLbls>
        <c:gapWidth val="150"/>
        <c:axId val="141615104"/>
        <c:axId val="141616640"/>
      </c:barChart>
      <c:catAx>
        <c:axId val="141615104"/>
        <c:scaling>
          <c:orientation val="minMax"/>
        </c:scaling>
        <c:delete val="0"/>
        <c:axPos val="b"/>
        <c:majorGridlines/>
        <c:numFmt formatCode="General" sourceLinked="1"/>
        <c:majorTickMark val="out"/>
        <c:minorTickMark val="none"/>
        <c:tickLblPos val="nextTo"/>
        <c:txPr>
          <a:bodyPr/>
          <a:lstStyle/>
          <a:p>
            <a:pPr>
              <a:defRPr b="1"/>
            </a:pPr>
            <a:endParaRPr lang="en-US"/>
          </a:p>
        </c:txPr>
        <c:crossAx val="141616640"/>
        <c:crosses val="autoZero"/>
        <c:auto val="1"/>
        <c:lblAlgn val="ctr"/>
        <c:lblOffset val="100"/>
        <c:noMultiLvlLbl val="0"/>
      </c:catAx>
      <c:valAx>
        <c:axId val="141616640"/>
        <c:scaling>
          <c:orientation val="minMax"/>
        </c:scaling>
        <c:delete val="0"/>
        <c:axPos val="l"/>
        <c:majorGridlines/>
        <c:numFmt formatCode="#,##0" sourceLinked="1"/>
        <c:majorTickMark val="out"/>
        <c:minorTickMark val="none"/>
        <c:tickLblPos val="nextTo"/>
        <c:txPr>
          <a:bodyPr/>
          <a:lstStyle/>
          <a:p>
            <a:pPr>
              <a:defRPr b="0"/>
            </a:pPr>
            <a:endParaRPr lang="en-US"/>
          </a:p>
        </c:txPr>
        <c:crossAx val="141615104"/>
        <c:crosses val="autoZero"/>
        <c:crossBetween val="between"/>
      </c:valAx>
    </c:plotArea>
    <c:legend>
      <c:legendPos val="t"/>
      <c:layout/>
      <c:overlay val="0"/>
      <c:txPr>
        <a:bodyPr/>
        <a:lstStyle/>
        <a:p>
          <a:pPr>
            <a:defRPr sz="1300"/>
          </a:pPr>
          <a:endParaRPr lang="en-US"/>
        </a:p>
      </c:txPr>
    </c:legend>
    <c:plotVisOnly val="1"/>
    <c:dispBlanksAs val="gap"/>
    <c:showDLblsOverMax val="0"/>
  </c:chart>
  <c:printSettings>
    <c:headerFooter/>
    <c:pageMargins b="0.75000000000000888" l="0.70000000000000062" r="0.70000000000000062" t="0.75000000000000888"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a:pPr>
            <a:r>
              <a:rPr lang="en-US"/>
              <a:t>Job Orders</a:t>
            </a:r>
          </a:p>
        </c:rich>
      </c:tx>
      <c:layout/>
      <c:overlay val="0"/>
    </c:title>
    <c:autoTitleDeleted val="0"/>
    <c:plotArea>
      <c:layout>
        <c:manualLayout>
          <c:layoutTarget val="inner"/>
          <c:xMode val="edge"/>
          <c:yMode val="edge"/>
          <c:x val="0.45612107658140366"/>
          <c:y val="0.55271850430641412"/>
          <c:w val="0.47611765984873194"/>
          <c:h val="0.33775962282553235"/>
        </c:manualLayout>
      </c:layout>
      <c:barChart>
        <c:barDir val="bar"/>
        <c:grouping val="clustered"/>
        <c:varyColors val="0"/>
        <c:ser>
          <c:idx val="1"/>
          <c:order val="0"/>
          <c:tx>
            <c:v>Current Quarter</c:v>
          </c:tx>
          <c:spPr>
            <a:solidFill>
              <a:schemeClr val="lt1"/>
            </a:solidFill>
            <a:ln w="25400" cap="flat" cmpd="sng" algn="ctr">
              <a:solidFill>
                <a:schemeClr val="accent3"/>
              </a:solidFill>
              <a:prstDash val="solid"/>
            </a:ln>
            <a:effectLst/>
          </c:spPr>
          <c:invertIfNegative val="0"/>
          <c:dLbls>
            <c:txPr>
              <a:bodyPr/>
              <a:lstStyle/>
              <a:p>
                <a:pPr>
                  <a:defRPr sz="1100" b="1"/>
                </a:pPr>
                <a:endParaRPr lang="en-US"/>
              </a:p>
            </c:txPr>
            <c:showLegendKey val="0"/>
            <c:showVal val="1"/>
            <c:showCatName val="0"/>
            <c:showSerName val="0"/>
            <c:showPercent val="0"/>
            <c:showBubbleSize val="0"/>
            <c:showLeaderLines val="0"/>
          </c:dLbls>
          <c:cat>
            <c:strRef>
              <c:f>'State Data'!$B$27:$B$29</c:f>
              <c:strCache>
                <c:ptCount val="3"/>
                <c:pt idx="0">
                  <c:v>% of Job Openings in Top 5 Desired Occupations</c:v>
                </c:pt>
                <c:pt idx="1">
                  <c:v>Job Order Fill Rate</c:v>
                </c:pt>
                <c:pt idx="2">
                  <c:v>Average Job Order Wage</c:v>
                </c:pt>
              </c:strCache>
            </c:strRef>
          </c:cat>
          <c:val>
            <c:numRef>
              <c:f>'State Data'!$C$27:$C$28</c:f>
              <c:numCache>
                <c:formatCode>0%</c:formatCode>
                <c:ptCount val="2"/>
                <c:pt idx="0">
                  <c:v>0.34030157642220699</c:v>
                </c:pt>
                <c:pt idx="1">
                  <c:v>0.45978981037240119</c:v>
                </c:pt>
              </c:numCache>
            </c:numRef>
          </c:val>
        </c:ser>
        <c:ser>
          <c:idx val="0"/>
          <c:order val="1"/>
          <c:tx>
            <c:v>1 Year Ago</c:v>
          </c:tx>
          <c:spPr>
            <a:solidFill>
              <a:schemeClr val="lt1"/>
            </a:solidFill>
            <a:ln w="38100" cap="flat" cmpd="sng" algn="ctr">
              <a:solidFill>
                <a:schemeClr val="accent1"/>
              </a:solidFill>
              <a:prstDash val="solid"/>
            </a:ln>
            <a:effectLst/>
          </c:spPr>
          <c:invertIfNegative val="0"/>
          <c:dLbls>
            <c:delete val="1"/>
          </c:dLbls>
          <c:cat>
            <c:strRef>
              <c:f>'State Data'!$B$27:$B$29</c:f>
              <c:strCache>
                <c:ptCount val="3"/>
                <c:pt idx="0">
                  <c:v>% of Job Openings in Top 5 Desired Occupations</c:v>
                </c:pt>
                <c:pt idx="1">
                  <c:v>Job Order Fill Rate</c:v>
                </c:pt>
                <c:pt idx="2">
                  <c:v>Average Job Order Wage</c:v>
                </c:pt>
              </c:strCache>
            </c:strRef>
          </c:cat>
          <c:val>
            <c:numRef>
              <c:f>'State Data'!$D$27:$D$28</c:f>
              <c:numCache>
                <c:formatCode>0%</c:formatCode>
                <c:ptCount val="2"/>
                <c:pt idx="0">
                  <c:v>0.28231109640597213</c:v>
                </c:pt>
                <c:pt idx="1">
                  <c:v>0.31068282393812813</c:v>
                </c:pt>
              </c:numCache>
            </c:numRef>
          </c:val>
        </c:ser>
        <c:dLbls>
          <c:showLegendKey val="0"/>
          <c:showVal val="1"/>
          <c:showCatName val="0"/>
          <c:showSerName val="0"/>
          <c:showPercent val="0"/>
          <c:showBubbleSize val="0"/>
        </c:dLbls>
        <c:gapWidth val="150"/>
        <c:axId val="141449856"/>
        <c:axId val="141451648"/>
      </c:barChart>
      <c:catAx>
        <c:axId val="141449856"/>
        <c:scaling>
          <c:orientation val="minMax"/>
        </c:scaling>
        <c:delete val="0"/>
        <c:axPos val="l"/>
        <c:majorTickMark val="out"/>
        <c:minorTickMark val="none"/>
        <c:tickLblPos val="nextTo"/>
        <c:txPr>
          <a:bodyPr/>
          <a:lstStyle/>
          <a:p>
            <a:pPr>
              <a:defRPr sz="1100" b="1"/>
            </a:pPr>
            <a:endParaRPr lang="en-US"/>
          </a:p>
        </c:txPr>
        <c:crossAx val="141451648"/>
        <c:crosses val="autoZero"/>
        <c:auto val="1"/>
        <c:lblAlgn val="ctr"/>
        <c:lblOffset val="100"/>
        <c:noMultiLvlLbl val="0"/>
      </c:catAx>
      <c:valAx>
        <c:axId val="141451648"/>
        <c:scaling>
          <c:orientation val="minMax"/>
        </c:scaling>
        <c:delete val="0"/>
        <c:axPos val="b"/>
        <c:majorGridlines/>
        <c:numFmt formatCode="0%" sourceLinked="1"/>
        <c:majorTickMark val="out"/>
        <c:minorTickMark val="none"/>
        <c:tickLblPos val="nextTo"/>
        <c:txPr>
          <a:bodyPr/>
          <a:lstStyle/>
          <a:p>
            <a:pPr>
              <a:defRPr b="0"/>
            </a:pPr>
            <a:endParaRPr lang="en-US"/>
          </a:p>
        </c:txPr>
        <c:crossAx val="141449856"/>
        <c:crosses val="autoZero"/>
        <c:crossBetween val="between"/>
      </c:valAx>
    </c:plotArea>
    <c:legend>
      <c:legendPos val="t"/>
      <c:layout/>
      <c:overlay val="0"/>
      <c:txPr>
        <a:bodyPr/>
        <a:lstStyle/>
        <a:p>
          <a:pPr>
            <a:defRPr sz="1300"/>
          </a:pPr>
          <a:endParaRPr lang="en-US"/>
        </a:p>
      </c:txPr>
    </c:legend>
    <c:plotVisOnly val="1"/>
    <c:dispBlanksAs val="gap"/>
    <c:showDLblsOverMax val="0"/>
  </c:chart>
  <c:printSettings>
    <c:headerFooter/>
    <c:pageMargins b="0.75000000000000888" l="0.70000000000000062" r="0.70000000000000062" t="0.75000000000000888" header="0.30000000000000032" footer="0.30000000000000032"/>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manualLayout>
          <c:layoutTarget val="inner"/>
          <c:xMode val="edge"/>
          <c:yMode val="edge"/>
          <c:x val="0.45612107658140366"/>
          <c:y val="0.27772683596086573"/>
          <c:w val="0.47611765984873194"/>
          <c:h val="0.59282435868227434"/>
        </c:manualLayout>
      </c:layout>
      <c:barChart>
        <c:barDir val="bar"/>
        <c:grouping val="clustered"/>
        <c:varyColors val="0"/>
        <c:ser>
          <c:idx val="1"/>
          <c:order val="0"/>
          <c:tx>
            <c:v>Current Quarter</c:v>
          </c:tx>
          <c:spPr>
            <a:solidFill>
              <a:schemeClr val="lt1"/>
            </a:solidFill>
            <a:ln w="25400" cap="flat" cmpd="sng" algn="ctr">
              <a:solidFill>
                <a:schemeClr val="accent3"/>
              </a:solidFill>
              <a:prstDash val="solid"/>
            </a:ln>
            <a:effectLst/>
          </c:spPr>
          <c:invertIfNegative val="0"/>
          <c:dLbls>
            <c:txPr>
              <a:bodyPr/>
              <a:lstStyle/>
              <a:p>
                <a:pPr>
                  <a:defRPr sz="1100" b="1"/>
                </a:pPr>
                <a:endParaRPr lang="en-US"/>
              </a:p>
            </c:txPr>
            <c:showLegendKey val="0"/>
            <c:showVal val="1"/>
            <c:showCatName val="0"/>
            <c:showSerName val="0"/>
            <c:showPercent val="0"/>
            <c:showBubbleSize val="0"/>
            <c:showLeaderLines val="0"/>
          </c:dLbls>
          <c:cat>
            <c:strRef>
              <c:f>'State Data'!$B$29</c:f>
              <c:strCache>
                <c:ptCount val="1"/>
                <c:pt idx="0">
                  <c:v>Average Job Order Wage</c:v>
                </c:pt>
              </c:strCache>
            </c:strRef>
          </c:cat>
          <c:val>
            <c:numRef>
              <c:f>'State Data'!$C$29</c:f>
              <c:numCache>
                <c:formatCode>"$"#,##0.00</c:formatCode>
                <c:ptCount val="1"/>
                <c:pt idx="0">
                  <c:v>12.757624882514239</c:v>
                </c:pt>
              </c:numCache>
            </c:numRef>
          </c:val>
        </c:ser>
        <c:ser>
          <c:idx val="0"/>
          <c:order val="1"/>
          <c:tx>
            <c:v>1 Year Ago</c:v>
          </c:tx>
          <c:spPr>
            <a:solidFill>
              <a:schemeClr val="lt1"/>
            </a:solidFill>
            <a:ln w="38100" cap="flat" cmpd="sng" algn="ctr">
              <a:solidFill>
                <a:schemeClr val="accent1"/>
              </a:solidFill>
              <a:prstDash val="solid"/>
            </a:ln>
            <a:effectLst/>
          </c:spPr>
          <c:invertIfNegative val="0"/>
          <c:cat>
            <c:strRef>
              <c:f>'State Data'!$B$29</c:f>
              <c:strCache>
                <c:ptCount val="1"/>
                <c:pt idx="0">
                  <c:v>Average Job Order Wage</c:v>
                </c:pt>
              </c:strCache>
            </c:strRef>
          </c:cat>
          <c:val>
            <c:numRef>
              <c:f>'State Data'!$D$29</c:f>
              <c:numCache>
                <c:formatCode>"$"#,##0.00</c:formatCode>
                <c:ptCount val="1"/>
                <c:pt idx="0">
                  <c:v>13.219881678574541</c:v>
                </c:pt>
              </c:numCache>
            </c:numRef>
          </c:val>
        </c:ser>
        <c:dLbls>
          <c:showLegendKey val="0"/>
          <c:showVal val="1"/>
          <c:showCatName val="0"/>
          <c:showSerName val="0"/>
          <c:showPercent val="0"/>
          <c:showBubbleSize val="0"/>
        </c:dLbls>
        <c:gapWidth val="150"/>
        <c:axId val="141506432"/>
        <c:axId val="141507968"/>
      </c:barChart>
      <c:catAx>
        <c:axId val="141506432"/>
        <c:scaling>
          <c:orientation val="minMax"/>
        </c:scaling>
        <c:delete val="0"/>
        <c:axPos val="l"/>
        <c:majorTickMark val="out"/>
        <c:minorTickMark val="none"/>
        <c:tickLblPos val="nextTo"/>
        <c:txPr>
          <a:bodyPr/>
          <a:lstStyle/>
          <a:p>
            <a:pPr>
              <a:defRPr sz="1100" b="1"/>
            </a:pPr>
            <a:endParaRPr lang="en-US"/>
          </a:p>
        </c:txPr>
        <c:crossAx val="141507968"/>
        <c:crosses val="autoZero"/>
        <c:auto val="1"/>
        <c:lblAlgn val="ctr"/>
        <c:lblOffset val="100"/>
        <c:noMultiLvlLbl val="0"/>
      </c:catAx>
      <c:valAx>
        <c:axId val="141507968"/>
        <c:scaling>
          <c:orientation val="minMax"/>
          <c:min val="0"/>
        </c:scaling>
        <c:delete val="0"/>
        <c:axPos val="b"/>
        <c:majorGridlines/>
        <c:numFmt formatCode="&quot;$&quot;#,##0.00" sourceLinked="1"/>
        <c:majorTickMark val="out"/>
        <c:minorTickMark val="none"/>
        <c:tickLblPos val="nextTo"/>
        <c:txPr>
          <a:bodyPr/>
          <a:lstStyle/>
          <a:p>
            <a:pPr>
              <a:defRPr b="0"/>
            </a:pPr>
            <a:endParaRPr lang="en-US"/>
          </a:p>
        </c:txPr>
        <c:crossAx val="141506432"/>
        <c:crosses val="autoZero"/>
        <c:crossBetween val="between"/>
      </c:valAx>
    </c:plotArea>
    <c:plotVisOnly val="1"/>
    <c:dispBlanksAs val="gap"/>
    <c:showDLblsOverMax val="0"/>
  </c:chart>
  <c:spPr>
    <a:ln>
      <a:noFill/>
    </a:ln>
  </c:spPr>
  <c:printSettings>
    <c:headerFooter/>
    <c:pageMargins b="0.7500000000000091" l="0.70000000000000062" r="0.70000000000000062" t="0.7500000000000091" header="0.30000000000000032" footer="0.30000000000000032"/>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a:pPr>
            <a:r>
              <a:rPr lang="en-US"/>
              <a:t>Customer Demographic Comparison</a:t>
            </a:r>
          </a:p>
        </c:rich>
      </c:tx>
      <c:overlay val="1"/>
    </c:title>
    <c:autoTitleDeleted val="0"/>
    <c:plotArea>
      <c:layout>
        <c:manualLayout>
          <c:layoutTarget val="inner"/>
          <c:xMode val="edge"/>
          <c:yMode val="edge"/>
          <c:x val="0.10276723222097321"/>
          <c:y val="0.14773112975164809"/>
          <c:w val="0.85479451787276595"/>
          <c:h val="0.52168630678457362"/>
        </c:manualLayout>
      </c:layout>
      <c:barChart>
        <c:barDir val="col"/>
        <c:grouping val="clustered"/>
        <c:varyColors val="0"/>
        <c:ser>
          <c:idx val="0"/>
          <c:order val="0"/>
          <c:tx>
            <c:strRef>
              <c:f>'Area Data'!$G$25</c:f>
              <c:strCache>
                <c:ptCount val="1"/>
                <c:pt idx="0">
                  <c:v>% of Population</c:v>
                </c:pt>
              </c:strCache>
            </c:strRef>
          </c:tx>
          <c:invertIfNegative val="0"/>
          <c:dLbls>
            <c:txPr>
              <a:bodyPr/>
              <a:lstStyle/>
              <a:p>
                <a:pPr>
                  <a:defRPr sz="1400"/>
                </a:pPr>
                <a:endParaRPr lang="en-US"/>
              </a:p>
            </c:txPr>
            <c:showLegendKey val="0"/>
            <c:showVal val="1"/>
            <c:showCatName val="0"/>
            <c:showSerName val="0"/>
            <c:showPercent val="0"/>
            <c:showBubbleSize val="0"/>
            <c:showLeaderLines val="0"/>
          </c:dLbls>
          <c:cat>
            <c:strRef>
              <c:f>'Area Data'!$F$27:$F$31</c:f>
              <c:strCache>
                <c:ptCount val="5"/>
                <c:pt idx="0">
                  <c:v>Male</c:v>
                </c:pt>
                <c:pt idx="1">
                  <c:v>Female</c:v>
                </c:pt>
                <c:pt idx="2">
                  <c:v>Protected Class</c:v>
                </c:pt>
                <c:pt idx="3">
                  <c:v>Over 55</c:v>
                </c:pt>
                <c:pt idx="4">
                  <c:v>With Disability</c:v>
                </c:pt>
              </c:strCache>
            </c:strRef>
          </c:cat>
          <c:val>
            <c:numRef>
              <c:f>'State Data'!$G$27:$G$31</c:f>
              <c:numCache>
                <c:formatCode>0%</c:formatCode>
                <c:ptCount val="5"/>
                <c:pt idx="0">
                  <c:v>0.49813176812094212</c:v>
                </c:pt>
                <c:pt idx="1">
                  <c:v>0.50186823187905794</c:v>
                </c:pt>
                <c:pt idx="2">
                  <c:v>0.22725390881755481</c:v>
                </c:pt>
                <c:pt idx="3">
                  <c:v>0.13163249828241039</c:v>
                </c:pt>
                <c:pt idx="4">
                  <c:v>0.11999988103275466</c:v>
                </c:pt>
              </c:numCache>
            </c:numRef>
          </c:val>
        </c:ser>
        <c:ser>
          <c:idx val="1"/>
          <c:order val="1"/>
          <c:tx>
            <c:strRef>
              <c:f>'Area Data'!$H$25</c:f>
              <c:strCache>
                <c:ptCount val="1"/>
                <c:pt idx="0">
                  <c:v>% Of Staff Assisted</c:v>
                </c:pt>
              </c:strCache>
            </c:strRef>
          </c:tx>
          <c:invertIfNegative val="0"/>
          <c:dLbls>
            <c:delete val="1"/>
          </c:dLbls>
          <c:cat>
            <c:strRef>
              <c:f>'Area Data'!$F$27:$F$31</c:f>
              <c:strCache>
                <c:ptCount val="5"/>
                <c:pt idx="0">
                  <c:v>Male</c:v>
                </c:pt>
                <c:pt idx="1">
                  <c:v>Female</c:v>
                </c:pt>
                <c:pt idx="2">
                  <c:v>Protected Class</c:v>
                </c:pt>
                <c:pt idx="3">
                  <c:v>Over 55</c:v>
                </c:pt>
                <c:pt idx="4">
                  <c:v>With Disability</c:v>
                </c:pt>
              </c:strCache>
            </c:strRef>
          </c:cat>
          <c:val>
            <c:numRef>
              <c:f>'State Data'!$H$27:$H$31</c:f>
              <c:numCache>
                <c:formatCode>0%</c:formatCode>
                <c:ptCount val="5"/>
                <c:pt idx="0">
                  <c:v>0.57021818898551979</c:v>
                </c:pt>
                <c:pt idx="1">
                  <c:v>0.42978181101448021</c:v>
                </c:pt>
                <c:pt idx="2">
                  <c:v>0.30470857284801289</c:v>
                </c:pt>
                <c:pt idx="3">
                  <c:v>0.15799733777577377</c:v>
                </c:pt>
                <c:pt idx="4">
                  <c:v>4.2420086022782806E-2</c:v>
                </c:pt>
              </c:numCache>
            </c:numRef>
          </c:val>
        </c:ser>
        <c:ser>
          <c:idx val="2"/>
          <c:order val="2"/>
          <c:tx>
            <c:strRef>
              <c:f>'Area Data'!$I$25</c:f>
              <c:strCache>
                <c:ptCount val="1"/>
                <c:pt idx="0">
                  <c:v>% of WIA Enrolled</c:v>
                </c:pt>
              </c:strCache>
            </c:strRef>
          </c:tx>
          <c:invertIfNegative val="0"/>
          <c:dLbls>
            <c:delete val="1"/>
          </c:dLbls>
          <c:cat>
            <c:strRef>
              <c:f>'Area Data'!$F$27:$F$31</c:f>
              <c:strCache>
                <c:ptCount val="5"/>
                <c:pt idx="0">
                  <c:v>Male</c:v>
                </c:pt>
                <c:pt idx="1">
                  <c:v>Female</c:v>
                </c:pt>
                <c:pt idx="2">
                  <c:v>Protected Class</c:v>
                </c:pt>
                <c:pt idx="3">
                  <c:v>Over 55</c:v>
                </c:pt>
                <c:pt idx="4">
                  <c:v>With Disability</c:v>
                </c:pt>
              </c:strCache>
            </c:strRef>
          </c:cat>
          <c:val>
            <c:numRef>
              <c:f>'State Data'!$I$27:$I$31</c:f>
              <c:numCache>
                <c:formatCode>0%</c:formatCode>
                <c:ptCount val="5"/>
                <c:pt idx="0">
                  <c:v>0.49254044967430133</c:v>
                </c:pt>
                <c:pt idx="1">
                  <c:v>0.50745955032569867</c:v>
                </c:pt>
                <c:pt idx="2">
                  <c:v>0.26786089514603906</c:v>
                </c:pt>
                <c:pt idx="3">
                  <c:v>0.14777264131119983</c:v>
                </c:pt>
                <c:pt idx="4">
                  <c:v>7.4280310989703724E-2</c:v>
                </c:pt>
              </c:numCache>
            </c:numRef>
          </c:val>
        </c:ser>
        <c:dLbls>
          <c:showLegendKey val="0"/>
          <c:showVal val="1"/>
          <c:showCatName val="0"/>
          <c:showSerName val="0"/>
          <c:showPercent val="0"/>
          <c:showBubbleSize val="0"/>
        </c:dLbls>
        <c:gapWidth val="150"/>
        <c:axId val="141927936"/>
        <c:axId val="141929472"/>
      </c:barChart>
      <c:catAx>
        <c:axId val="141927936"/>
        <c:scaling>
          <c:orientation val="minMax"/>
        </c:scaling>
        <c:delete val="0"/>
        <c:axPos val="b"/>
        <c:majorTickMark val="out"/>
        <c:minorTickMark val="none"/>
        <c:tickLblPos val="nextTo"/>
        <c:txPr>
          <a:bodyPr/>
          <a:lstStyle/>
          <a:p>
            <a:pPr>
              <a:defRPr sz="1400"/>
            </a:pPr>
            <a:endParaRPr lang="en-US"/>
          </a:p>
        </c:txPr>
        <c:crossAx val="141929472"/>
        <c:crosses val="autoZero"/>
        <c:auto val="1"/>
        <c:lblAlgn val="ctr"/>
        <c:lblOffset val="100"/>
        <c:noMultiLvlLbl val="0"/>
      </c:catAx>
      <c:valAx>
        <c:axId val="141929472"/>
        <c:scaling>
          <c:orientation val="minMax"/>
        </c:scaling>
        <c:delete val="0"/>
        <c:axPos val="l"/>
        <c:majorGridlines/>
        <c:numFmt formatCode="0%" sourceLinked="1"/>
        <c:majorTickMark val="out"/>
        <c:minorTickMark val="none"/>
        <c:tickLblPos val="nextTo"/>
        <c:txPr>
          <a:bodyPr/>
          <a:lstStyle/>
          <a:p>
            <a:pPr>
              <a:defRPr sz="1400"/>
            </a:pPr>
            <a:endParaRPr lang="en-US"/>
          </a:p>
        </c:txPr>
        <c:crossAx val="141927936"/>
        <c:crosses val="autoZero"/>
        <c:crossBetween val="between"/>
        <c:majorUnit val="0.2"/>
      </c:valAx>
    </c:plotArea>
    <c:legend>
      <c:legendPos val="b"/>
      <c:layout>
        <c:manualLayout>
          <c:xMode val="edge"/>
          <c:yMode val="edge"/>
          <c:x val="1.865157480314962E-2"/>
          <c:y val="0.80884867385942638"/>
          <c:w val="0.94724460679151123"/>
          <c:h val="0.1877611092431424"/>
        </c:manualLayout>
      </c:layout>
      <c:overlay val="0"/>
      <c:txPr>
        <a:bodyPr/>
        <a:lstStyle/>
        <a:p>
          <a:pPr>
            <a:defRPr sz="1400"/>
          </a:pPr>
          <a:endParaRPr lang="en-US"/>
        </a:p>
      </c:txPr>
    </c:legend>
    <c:plotVisOnly val="1"/>
    <c:dispBlanksAs val="gap"/>
    <c:showDLblsOverMax val="0"/>
  </c:chart>
  <c:printSettings>
    <c:headerFooter/>
    <c:pageMargins b="0.75000000000000855" l="0.70000000000000062" r="0.70000000000000062" t="0.75000000000000855" header="0.30000000000000032" footer="0.30000000000000032"/>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a:pPr>
            <a:r>
              <a:rPr lang="en-US"/>
              <a:t>Labor Market, Jan 10 - Dec 10</a:t>
            </a:r>
          </a:p>
        </c:rich>
      </c:tx>
      <c:overlay val="0"/>
    </c:title>
    <c:autoTitleDeleted val="0"/>
    <c:plotArea>
      <c:layout>
        <c:manualLayout>
          <c:layoutTarget val="inner"/>
          <c:xMode val="edge"/>
          <c:yMode val="edge"/>
          <c:x val="0.15424642327585344"/>
          <c:y val="0.15513094761459903"/>
          <c:w val="0.7497815335625303"/>
          <c:h val="0.59216462348986043"/>
        </c:manualLayout>
      </c:layout>
      <c:barChart>
        <c:barDir val="col"/>
        <c:grouping val="clustered"/>
        <c:varyColors val="0"/>
        <c:ser>
          <c:idx val="1"/>
          <c:order val="1"/>
          <c:tx>
            <c:v>Employed</c:v>
          </c:tx>
          <c:invertIfNegative val="0"/>
          <c:val>
            <c:numRef>
              <c:f>'State Data'!$G$21:$J$21</c:f>
              <c:numCache>
                <c:formatCode>#,##0</c:formatCode>
                <c:ptCount val="4"/>
                <c:pt idx="0">
                  <c:v>3144263</c:v>
                </c:pt>
                <c:pt idx="1">
                  <c:v>3203803</c:v>
                </c:pt>
                <c:pt idx="2">
                  <c:v>3214420</c:v>
                </c:pt>
                <c:pt idx="3">
                  <c:v>3205983</c:v>
                </c:pt>
              </c:numCache>
            </c:numRef>
          </c:val>
        </c:ser>
        <c:ser>
          <c:idx val="0"/>
          <c:order val="2"/>
          <c:tx>
            <c:v>Labor Force</c:v>
          </c:tx>
          <c:invertIfNegative val="0"/>
          <c:dLbls>
            <c:spPr>
              <a:solidFill>
                <a:schemeClr val="lt1"/>
              </a:solidFill>
              <a:ln w="25400" cap="flat" cmpd="sng" algn="ctr">
                <a:solidFill>
                  <a:schemeClr val="accent1"/>
                </a:solidFill>
                <a:prstDash val="solid"/>
              </a:ln>
              <a:effectLst/>
            </c:spPr>
            <c:txPr>
              <a:bodyPr/>
              <a:lstStyle/>
              <a:p>
                <a:pPr>
                  <a:defRPr sz="1000">
                    <a:solidFill>
                      <a:schemeClr val="dk1"/>
                    </a:solidFill>
                    <a:latin typeface="+mn-lt"/>
                    <a:ea typeface="+mn-ea"/>
                    <a:cs typeface="+mn-cs"/>
                  </a:defRPr>
                </a:pPr>
                <a:endParaRPr lang="en-US"/>
              </a:p>
            </c:txPr>
            <c:dLblPos val="outEnd"/>
            <c:showLegendKey val="0"/>
            <c:showVal val="1"/>
            <c:showCatName val="0"/>
            <c:showSerName val="0"/>
            <c:showPercent val="0"/>
            <c:showBubbleSize val="0"/>
            <c:showLeaderLines val="0"/>
          </c:dLbls>
          <c:val>
            <c:numRef>
              <c:f>'State Data'!$G$23:$J$23</c:f>
              <c:numCache>
                <c:formatCode>#,##0</c:formatCode>
                <c:ptCount val="4"/>
                <c:pt idx="0">
                  <c:v>3532173</c:v>
                </c:pt>
                <c:pt idx="1">
                  <c:v>3539823</c:v>
                </c:pt>
                <c:pt idx="2">
                  <c:v>3548887</c:v>
                </c:pt>
                <c:pt idx="3">
                  <c:v>3516687</c:v>
                </c:pt>
              </c:numCache>
            </c:numRef>
          </c:val>
        </c:ser>
        <c:dLbls>
          <c:showLegendKey val="0"/>
          <c:showVal val="0"/>
          <c:showCatName val="0"/>
          <c:showSerName val="0"/>
          <c:showPercent val="0"/>
          <c:showBubbleSize val="0"/>
        </c:dLbls>
        <c:gapWidth val="150"/>
        <c:axId val="142065024"/>
        <c:axId val="142063488"/>
      </c:barChart>
      <c:lineChart>
        <c:grouping val="standard"/>
        <c:varyColors val="0"/>
        <c:ser>
          <c:idx val="10"/>
          <c:order val="0"/>
          <c:tx>
            <c:strRef>
              <c:f>'Area Data'!$F$24</c:f>
              <c:strCache>
                <c:ptCount val="1"/>
                <c:pt idx="0">
                  <c:v>Unemployment Rate</c:v>
                </c:pt>
              </c:strCache>
            </c:strRef>
          </c:tx>
          <c:marker>
            <c:symbol val="diamond"/>
            <c:size val="5"/>
            <c:spPr>
              <a:solidFill>
                <a:schemeClr val="accent1"/>
              </a:solidFill>
            </c:spPr>
          </c:marker>
          <c:dLbls>
            <c:txPr>
              <a:bodyPr/>
              <a:lstStyle/>
              <a:p>
                <a:pPr>
                  <a:defRPr sz="1400" b="1"/>
                </a:pPr>
                <a:endParaRPr lang="en-US"/>
              </a:p>
            </c:txPr>
            <c:dLblPos val="l"/>
            <c:showLegendKey val="0"/>
            <c:showVal val="1"/>
            <c:showCatName val="0"/>
            <c:showSerName val="0"/>
            <c:showPercent val="0"/>
            <c:showBubbleSize val="0"/>
            <c:showLeaderLines val="0"/>
          </c:dLbls>
          <c:cat>
            <c:strRef>
              <c:f>'Area Data'!$G$20:$J$20</c:f>
              <c:strCache>
                <c:ptCount val="4"/>
                <c:pt idx="0">
                  <c:v>PY09 Q3</c:v>
                </c:pt>
                <c:pt idx="1">
                  <c:v>PY09 Q4</c:v>
                </c:pt>
                <c:pt idx="2">
                  <c:v>PY10 Q1</c:v>
                </c:pt>
                <c:pt idx="3">
                  <c:v>PY10 Q2</c:v>
                </c:pt>
              </c:strCache>
            </c:strRef>
          </c:cat>
          <c:val>
            <c:numRef>
              <c:f>'State Data'!$G$24:$J$24</c:f>
              <c:numCache>
                <c:formatCode>0.0%</c:formatCode>
                <c:ptCount val="4"/>
                <c:pt idx="0">
                  <c:v>0.10780247739847397</c:v>
                </c:pt>
                <c:pt idx="1">
                  <c:v>9.4369972735924929E-2</c:v>
                </c:pt>
                <c:pt idx="2">
                  <c:v>9.0647293080901137E-2</c:v>
                </c:pt>
                <c:pt idx="3">
                  <c:v>9.1424969012027513E-2</c:v>
                </c:pt>
              </c:numCache>
            </c:numRef>
          </c:val>
          <c:smooth val="0"/>
        </c:ser>
        <c:dLbls>
          <c:showLegendKey val="0"/>
          <c:showVal val="0"/>
          <c:showCatName val="0"/>
          <c:showSerName val="0"/>
          <c:showPercent val="0"/>
          <c:showBubbleSize val="0"/>
        </c:dLbls>
        <c:marker val="1"/>
        <c:smooth val="0"/>
        <c:axId val="142051968"/>
        <c:axId val="142061952"/>
      </c:lineChart>
      <c:catAx>
        <c:axId val="142051968"/>
        <c:scaling>
          <c:orientation val="minMax"/>
        </c:scaling>
        <c:delete val="0"/>
        <c:axPos val="b"/>
        <c:numFmt formatCode="0.00%" sourceLinked="1"/>
        <c:majorTickMark val="out"/>
        <c:minorTickMark val="none"/>
        <c:tickLblPos val="nextTo"/>
        <c:txPr>
          <a:bodyPr/>
          <a:lstStyle/>
          <a:p>
            <a:pPr>
              <a:defRPr sz="1400"/>
            </a:pPr>
            <a:endParaRPr lang="en-US"/>
          </a:p>
        </c:txPr>
        <c:crossAx val="142061952"/>
        <c:crosses val="autoZero"/>
        <c:auto val="1"/>
        <c:lblAlgn val="ctr"/>
        <c:lblOffset val="100"/>
        <c:noMultiLvlLbl val="0"/>
      </c:catAx>
      <c:valAx>
        <c:axId val="142061952"/>
        <c:scaling>
          <c:orientation val="minMax"/>
          <c:min val="0"/>
        </c:scaling>
        <c:delete val="0"/>
        <c:axPos val="l"/>
        <c:majorGridlines/>
        <c:numFmt formatCode="0%" sourceLinked="0"/>
        <c:majorTickMark val="out"/>
        <c:minorTickMark val="none"/>
        <c:tickLblPos val="nextTo"/>
        <c:txPr>
          <a:bodyPr/>
          <a:lstStyle/>
          <a:p>
            <a:pPr>
              <a:defRPr sz="1600"/>
            </a:pPr>
            <a:endParaRPr lang="en-US"/>
          </a:p>
        </c:txPr>
        <c:crossAx val="142051968"/>
        <c:crosses val="autoZero"/>
        <c:crossBetween val="between"/>
      </c:valAx>
      <c:valAx>
        <c:axId val="142063488"/>
        <c:scaling>
          <c:orientation val="minMax"/>
          <c:min val="0"/>
        </c:scaling>
        <c:delete val="0"/>
        <c:axPos val="r"/>
        <c:numFmt formatCode="#,##0" sourceLinked="1"/>
        <c:majorTickMark val="out"/>
        <c:minorTickMark val="none"/>
        <c:tickLblPos val="nextTo"/>
        <c:txPr>
          <a:bodyPr/>
          <a:lstStyle/>
          <a:p>
            <a:pPr>
              <a:defRPr sz="1200"/>
            </a:pPr>
            <a:endParaRPr lang="en-US"/>
          </a:p>
        </c:txPr>
        <c:crossAx val="142065024"/>
        <c:crosses val="max"/>
        <c:crossBetween val="between"/>
      </c:valAx>
      <c:catAx>
        <c:axId val="142065024"/>
        <c:scaling>
          <c:orientation val="minMax"/>
        </c:scaling>
        <c:delete val="1"/>
        <c:axPos val="b"/>
        <c:majorTickMark val="out"/>
        <c:minorTickMark val="none"/>
        <c:tickLblPos val="none"/>
        <c:crossAx val="142063488"/>
        <c:crosses val="autoZero"/>
        <c:auto val="1"/>
        <c:lblAlgn val="ctr"/>
        <c:lblOffset val="100"/>
        <c:noMultiLvlLbl val="0"/>
      </c:catAx>
    </c:plotArea>
    <c:legend>
      <c:legendPos val="b"/>
      <c:layout>
        <c:manualLayout>
          <c:xMode val="edge"/>
          <c:yMode val="edge"/>
          <c:x val="2.5308641975308629E-2"/>
          <c:y val="0.8856373535832297"/>
          <c:w val="0.94938271604938285"/>
          <c:h val="8.8472678779230263E-2"/>
        </c:manualLayout>
      </c:layout>
      <c:overlay val="0"/>
      <c:txPr>
        <a:bodyPr/>
        <a:lstStyle/>
        <a:p>
          <a:pPr>
            <a:defRPr sz="1400"/>
          </a:pPr>
          <a:endParaRPr lang="en-US"/>
        </a:p>
      </c:txPr>
    </c:legend>
    <c:plotVisOnly val="1"/>
    <c:dispBlanksAs val="gap"/>
    <c:showDLblsOverMax val="0"/>
  </c:chart>
  <c:spPr>
    <a:ln>
      <a:solidFill>
        <a:sysClr val="windowText" lastClr="000000"/>
      </a:solidFill>
    </a:ln>
  </c:spPr>
  <c:printSettings>
    <c:headerFooter/>
    <c:pageMargins b="0.75000000000000921" l="0.70000000000000095" r="0.70000000000000095" t="0.75000000000000921" header="0.30000000000000032" footer="0.30000000000000032"/>
    <c:pageSetup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sz="2400"/>
            </a:pPr>
            <a:r>
              <a:rPr lang="en-US" sz="2400"/>
              <a:t>All Customers Common Measures</a:t>
            </a:r>
          </a:p>
        </c:rich>
      </c:tx>
      <c:overlay val="0"/>
    </c:title>
    <c:autoTitleDeleted val="0"/>
    <c:plotArea>
      <c:layout>
        <c:manualLayout>
          <c:layoutTarget val="inner"/>
          <c:xMode val="edge"/>
          <c:yMode val="edge"/>
          <c:x val="0.10841219359030888"/>
          <c:y val="0.10722831150408671"/>
          <c:w val="0.7795612601227585"/>
          <c:h val="0.6501722242765795"/>
        </c:manualLayout>
      </c:layout>
      <c:barChart>
        <c:barDir val="col"/>
        <c:grouping val="clustered"/>
        <c:varyColors val="0"/>
        <c:ser>
          <c:idx val="0"/>
          <c:order val="0"/>
          <c:tx>
            <c:strRef>
              <c:f>'Common Measures'!$C$33</c:f>
              <c:strCache>
                <c:ptCount val="1"/>
                <c:pt idx="0">
                  <c:v>Actual</c:v>
                </c:pt>
              </c:strCache>
            </c:strRef>
          </c:tx>
          <c:invertIfNegative val="0"/>
          <c:dLbls>
            <c:numFmt formatCode="0.0%" sourceLinked="0"/>
            <c:spPr>
              <a:solidFill>
                <a:schemeClr val="lt1"/>
              </a:solidFill>
              <a:ln w="25400" cap="flat" cmpd="sng" algn="ctr">
                <a:solidFill>
                  <a:schemeClr val="accent1"/>
                </a:solidFill>
                <a:prstDash val="solid"/>
              </a:ln>
              <a:effectLst/>
            </c:spPr>
            <c:txPr>
              <a:bodyPr/>
              <a:lstStyle/>
              <a:p>
                <a:pPr>
                  <a:defRPr sz="2400">
                    <a:solidFill>
                      <a:schemeClr val="dk1"/>
                    </a:solidFill>
                    <a:latin typeface="+mn-lt"/>
                    <a:ea typeface="+mn-ea"/>
                    <a:cs typeface="+mn-cs"/>
                  </a:defRPr>
                </a:pPr>
                <a:endParaRPr lang="en-US"/>
              </a:p>
            </c:txPr>
            <c:dLblPos val="ctr"/>
            <c:showLegendKey val="0"/>
            <c:showVal val="1"/>
            <c:showCatName val="0"/>
            <c:showSerName val="0"/>
            <c:showPercent val="0"/>
            <c:showBubbleSize val="0"/>
            <c:showLeaderLines val="0"/>
          </c:dLbls>
          <c:cat>
            <c:strRef>
              <c:f>'Common Measures'!$B$34:$B$36</c:f>
              <c:strCache>
                <c:ptCount val="3"/>
                <c:pt idx="0">
                  <c:v>Entered Employment</c:v>
                </c:pt>
                <c:pt idx="1">
                  <c:v>Retention Rate</c:v>
                </c:pt>
                <c:pt idx="2">
                  <c:v>Average Earnings</c:v>
                </c:pt>
              </c:strCache>
            </c:strRef>
          </c:cat>
          <c:val>
            <c:numRef>
              <c:f>'Common Measures'!$C$51:$C$53</c:f>
              <c:numCache>
                <c:formatCode>0.0%</c:formatCode>
                <c:ptCount val="3"/>
                <c:pt idx="0">
                  <c:v>0.52</c:v>
                </c:pt>
                <c:pt idx="1">
                  <c:v>0.78</c:v>
                </c:pt>
              </c:numCache>
            </c:numRef>
          </c:val>
        </c:ser>
        <c:dLbls>
          <c:showLegendKey val="0"/>
          <c:showVal val="0"/>
          <c:showCatName val="0"/>
          <c:showSerName val="0"/>
          <c:showPercent val="0"/>
          <c:showBubbleSize val="0"/>
        </c:dLbls>
        <c:gapWidth val="150"/>
        <c:axId val="142116352"/>
        <c:axId val="142117888"/>
      </c:barChart>
      <c:barChart>
        <c:barDir val="col"/>
        <c:grouping val="clustered"/>
        <c:varyColors val="0"/>
        <c:ser>
          <c:idx val="1"/>
          <c:order val="1"/>
          <c:tx>
            <c:strRef>
              <c:f>'Common Measures'!$D$33</c:f>
              <c:strCache>
                <c:ptCount val="1"/>
                <c:pt idx="0">
                  <c:v>Actual $</c:v>
                </c:pt>
              </c:strCache>
            </c:strRef>
          </c:tx>
          <c:invertIfNegative val="0"/>
          <c:dLbls>
            <c:spPr>
              <a:solidFill>
                <a:schemeClr val="lt1"/>
              </a:solidFill>
              <a:ln w="25400" cap="flat" cmpd="sng" algn="ctr">
                <a:solidFill>
                  <a:schemeClr val="accent2"/>
                </a:solidFill>
                <a:prstDash val="solid"/>
              </a:ln>
              <a:effectLst/>
            </c:spPr>
            <c:txPr>
              <a:bodyPr/>
              <a:lstStyle/>
              <a:p>
                <a:pPr>
                  <a:defRPr sz="2400">
                    <a:solidFill>
                      <a:schemeClr val="dk1"/>
                    </a:solidFill>
                    <a:latin typeface="+mn-lt"/>
                    <a:ea typeface="+mn-ea"/>
                    <a:cs typeface="+mn-cs"/>
                  </a:defRPr>
                </a:pPr>
                <a:endParaRPr lang="en-US"/>
              </a:p>
            </c:txPr>
            <c:dLblPos val="ctr"/>
            <c:showLegendKey val="0"/>
            <c:showVal val="1"/>
            <c:showCatName val="0"/>
            <c:showSerName val="0"/>
            <c:showPercent val="0"/>
            <c:showBubbleSize val="0"/>
            <c:showLeaderLines val="0"/>
          </c:dLbls>
          <c:cat>
            <c:strRef>
              <c:f>'Common Measures'!$B$34:$B$36</c:f>
              <c:strCache>
                <c:ptCount val="3"/>
                <c:pt idx="0">
                  <c:v>Entered Employment</c:v>
                </c:pt>
                <c:pt idx="1">
                  <c:v>Retention Rate</c:v>
                </c:pt>
                <c:pt idx="2">
                  <c:v>Average Earnings</c:v>
                </c:pt>
              </c:strCache>
            </c:strRef>
          </c:cat>
          <c:val>
            <c:numRef>
              <c:f>'Common Measures'!$D$51:$D$53</c:f>
              <c:numCache>
                <c:formatCode>0.0%</c:formatCode>
                <c:ptCount val="3"/>
                <c:pt idx="2" formatCode="&quot;$&quot;#,##0">
                  <c:v>14319</c:v>
                </c:pt>
              </c:numCache>
            </c:numRef>
          </c:val>
        </c:ser>
        <c:dLbls>
          <c:showLegendKey val="0"/>
          <c:showVal val="0"/>
          <c:showCatName val="0"/>
          <c:showSerName val="0"/>
          <c:showPercent val="0"/>
          <c:showBubbleSize val="0"/>
        </c:dLbls>
        <c:gapWidth val="150"/>
        <c:axId val="142133504"/>
        <c:axId val="142131968"/>
      </c:barChart>
      <c:scatterChart>
        <c:scatterStyle val="lineMarker"/>
        <c:varyColors val="0"/>
        <c:ser>
          <c:idx val="2"/>
          <c:order val="2"/>
          <c:tx>
            <c:strRef>
              <c:f>'Common Measures'!$E$33</c:f>
              <c:strCache>
                <c:ptCount val="1"/>
                <c:pt idx="0">
                  <c:v>Target</c:v>
                </c:pt>
              </c:strCache>
            </c:strRef>
          </c:tx>
          <c:spPr>
            <a:ln w="66675">
              <a:noFill/>
            </a:ln>
          </c:spPr>
          <c:marker>
            <c:symbol val="dash"/>
            <c:size val="20"/>
          </c:marker>
          <c:dLbls>
            <c:numFmt formatCode="0.0%" sourceLinked="0"/>
            <c:spPr>
              <a:solidFill>
                <a:schemeClr val="lt1"/>
              </a:solidFill>
              <a:ln w="25400" cap="flat" cmpd="sng" algn="ctr">
                <a:solidFill>
                  <a:schemeClr val="accent3"/>
                </a:solidFill>
                <a:prstDash val="solid"/>
              </a:ln>
              <a:effectLst/>
            </c:spPr>
            <c:txPr>
              <a:bodyPr/>
              <a:lstStyle/>
              <a:p>
                <a:pPr>
                  <a:defRPr sz="1800">
                    <a:solidFill>
                      <a:schemeClr val="dk1"/>
                    </a:solidFill>
                    <a:latin typeface="+mn-lt"/>
                    <a:ea typeface="+mn-ea"/>
                    <a:cs typeface="+mn-cs"/>
                  </a:defRPr>
                </a:pPr>
                <a:endParaRPr lang="en-US"/>
              </a:p>
            </c:txPr>
            <c:dLblPos val="l"/>
            <c:showLegendKey val="0"/>
            <c:showVal val="1"/>
            <c:showCatName val="0"/>
            <c:showSerName val="0"/>
            <c:showPercent val="0"/>
            <c:showBubbleSize val="0"/>
            <c:showLeaderLines val="0"/>
          </c:dLbls>
          <c:xVal>
            <c:strRef>
              <c:f>'Common Measures'!$B$34:$B$36</c:f>
              <c:strCache>
                <c:ptCount val="3"/>
                <c:pt idx="0">
                  <c:v>Entered Employment</c:v>
                </c:pt>
                <c:pt idx="1">
                  <c:v>Retention Rate</c:v>
                </c:pt>
                <c:pt idx="2">
                  <c:v>Average Earnings</c:v>
                </c:pt>
              </c:strCache>
            </c:strRef>
          </c:xVal>
          <c:yVal>
            <c:numRef>
              <c:f>'Common Measures'!$E$51:$E$53</c:f>
              <c:numCache>
                <c:formatCode>0.0%</c:formatCode>
                <c:ptCount val="3"/>
                <c:pt idx="0">
                  <c:v>0.5</c:v>
                </c:pt>
                <c:pt idx="1">
                  <c:v>0.76600000000000001</c:v>
                </c:pt>
              </c:numCache>
            </c:numRef>
          </c:yVal>
          <c:smooth val="0"/>
        </c:ser>
        <c:dLbls>
          <c:showLegendKey val="0"/>
          <c:showVal val="0"/>
          <c:showCatName val="0"/>
          <c:showSerName val="0"/>
          <c:showPercent val="0"/>
          <c:showBubbleSize val="0"/>
        </c:dLbls>
        <c:axId val="142116352"/>
        <c:axId val="142117888"/>
      </c:scatterChart>
      <c:scatterChart>
        <c:scatterStyle val="lineMarker"/>
        <c:varyColors val="0"/>
        <c:ser>
          <c:idx val="3"/>
          <c:order val="3"/>
          <c:tx>
            <c:strRef>
              <c:f>'Common Measures'!$F$33</c:f>
              <c:strCache>
                <c:ptCount val="1"/>
                <c:pt idx="0">
                  <c:v>Target $</c:v>
                </c:pt>
              </c:strCache>
            </c:strRef>
          </c:tx>
          <c:spPr>
            <a:ln w="66675">
              <a:noFill/>
            </a:ln>
          </c:spPr>
          <c:marker>
            <c:symbol val="dash"/>
            <c:size val="20"/>
            <c:spPr>
              <a:solidFill>
                <a:schemeClr val="accent3">
                  <a:lumMod val="75000"/>
                </a:schemeClr>
              </a:solidFill>
            </c:spPr>
          </c:marker>
          <c:dLbls>
            <c:spPr>
              <a:solidFill>
                <a:schemeClr val="lt1"/>
              </a:solidFill>
              <a:ln w="25400" cap="flat" cmpd="sng" algn="ctr">
                <a:solidFill>
                  <a:schemeClr val="accent3"/>
                </a:solidFill>
                <a:prstDash val="solid"/>
              </a:ln>
              <a:effectLst/>
            </c:spPr>
            <c:txPr>
              <a:bodyPr/>
              <a:lstStyle/>
              <a:p>
                <a:pPr>
                  <a:defRPr sz="1800">
                    <a:solidFill>
                      <a:schemeClr val="dk1"/>
                    </a:solidFill>
                    <a:latin typeface="+mn-lt"/>
                    <a:ea typeface="+mn-ea"/>
                    <a:cs typeface="+mn-cs"/>
                  </a:defRPr>
                </a:pPr>
                <a:endParaRPr lang="en-US"/>
              </a:p>
            </c:txPr>
            <c:dLblPos val="l"/>
            <c:showLegendKey val="0"/>
            <c:showVal val="1"/>
            <c:showCatName val="0"/>
            <c:showSerName val="0"/>
            <c:showPercent val="0"/>
            <c:showBubbleSize val="0"/>
            <c:showLeaderLines val="0"/>
          </c:dLbls>
          <c:xVal>
            <c:strRef>
              <c:f>'Common Measures'!$B$34:$B$36</c:f>
              <c:strCache>
                <c:ptCount val="3"/>
                <c:pt idx="0">
                  <c:v>Entered Employment</c:v>
                </c:pt>
                <c:pt idx="1">
                  <c:v>Retention Rate</c:v>
                </c:pt>
                <c:pt idx="2">
                  <c:v>Average Earnings</c:v>
                </c:pt>
              </c:strCache>
            </c:strRef>
          </c:xVal>
          <c:yVal>
            <c:numRef>
              <c:f>'Common Measures'!$F$51:$F$53</c:f>
              <c:numCache>
                <c:formatCode>General</c:formatCode>
                <c:ptCount val="3"/>
                <c:pt idx="2" formatCode="&quot;$&quot;#,##0">
                  <c:v>13500</c:v>
                </c:pt>
              </c:numCache>
            </c:numRef>
          </c:yVal>
          <c:smooth val="0"/>
        </c:ser>
        <c:dLbls>
          <c:showLegendKey val="0"/>
          <c:showVal val="0"/>
          <c:showCatName val="0"/>
          <c:showSerName val="0"/>
          <c:showPercent val="0"/>
          <c:showBubbleSize val="0"/>
        </c:dLbls>
        <c:axId val="142133504"/>
        <c:axId val="142131968"/>
      </c:scatterChart>
      <c:catAx>
        <c:axId val="142116352"/>
        <c:scaling>
          <c:orientation val="minMax"/>
        </c:scaling>
        <c:delete val="0"/>
        <c:axPos val="b"/>
        <c:majorTickMark val="out"/>
        <c:minorTickMark val="none"/>
        <c:tickLblPos val="nextTo"/>
        <c:txPr>
          <a:bodyPr/>
          <a:lstStyle/>
          <a:p>
            <a:pPr>
              <a:defRPr sz="2000"/>
            </a:pPr>
            <a:endParaRPr lang="en-US"/>
          </a:p>
        </c:txPr>
        <c:crossAx val="142117888"/>
        <c:crosses val="autoZero"/>
        <c:auto val="1"/>
        <c:lblAlgn val="ctr"/>
        <c:lblOffset val="100"/>
        <c:noMultiLvlLbl val="0"/>
      </c:catAx>
      <c:valAx>
        <c:axId val="142117888"/>
        <c:scaling>
          <c:orientation val="minMax"/>
          <c:max val="1"/>
        </c:scaling>
        <c:delete val="0"/>
        <c:axPos val="l"/>
        <c:majorGridlines/>
        <c:numFmt formatCode="0%" sourceLinked="0"/>
        <c:majorTickMark val="out"/>
        <c:minorTickMark val="none"/>
        <c:tickLblPos val="nextTo"/>
        <c:txPr>
          <a:bodyPr/>
          <a:lstStyle/>
          <a:p>
            <a:pPr>
              <a:defRPr sz="1600"/>
            </a:pPr>
            <a:endParaRPr lang="en-US"/>
          </a:p>
        </c:txPr>
        <c:crossAx val="142116352"/>
        <c:crosses val="autoZero"/>
        <c:crossBetween val="between"/>
        <c:majorUnit val="0.25"/>
      </c:valAx>
      <c:valAx>
        <c:axId val="142131968"/>
        <c:scaling>
          <c:orientation val="minMax"/>
          <c:min val="0"/>
        </c:scaling>
        <c:delete val="0"/>
        <c:axPos val="r"/>
        <c:numFmt formatCode="&quot;$&quot;#,##0" sourceLinked="0"/>
        <c:majorTickMark val="out"/>
        <c:minorTickMark val="none"/>
        <c:tickLblPos val="nextTo"/>
        <c:txPr>
          <a:bodyPr/>
          <a:lstStyle/>
          <a:p>
            <a:pPr>
              <a:defRPr sz="1600"/>
            </a:pPr>
            <a:endParaRPr lang="en-US"/>
          </a:p>
        </c:txPr>
        <c:crossAx val="142133504"/>
        <c:crosses val="max"/>
        <c:crossBetween val="between"/>
        <c:majorUnit val="5000"/>
      </c:valAx>
      <c:catAx>
        <c:axId val="142133504"/>
        <c:scaling>
          <c:orientation val="minMax"/>
        </c:scaling>
        <c:delete val="1"/>
        <c:axPos val="b"/>
        <c:majorTickMark val="out"/>
        <c:minorTickMark val="none"/>
        <c:tickLblPos val="none"/>
        <c:crossAx val="142131968"/>
        <c:crosses val="autoZero"/>
        <c:auto val="1"/>
        <c:lblAlgn val="ctr"/>
        <c:lblOffset val="100"/>
        <c:noMultiLvlLbl val="0"/>
      </c:catAx>
    </c:plotArea>
    <c:legend>
      <c:legendPos val="t"/>
      <c:legendEntry>
        <c:idx val="1"/>
        <c:delete val="1"/>
      </c:legendEntry>
      <c:legendEntry>
        <c:idx val="3"/>
        <c:delete val="1"/>
      </c:legendEntry>
      <c:layout>
        <c:manualLayout>
          <c:xMode val="edge"/>
          <c:yMode val="edge"/>
          <c:x val="0.13779641919787544"/>
          <c:y val="0.93485859657939319"/>
          <c:w val="0.71056491667669064"/>
          <c:h val="6.5040061348649064E-2"/>
        </c:manualLayout>
      </c:layout>
      <c:overlay val="0"/>
      <c:txPr>
        <a:bodyPr/>
        <a:lstStyle/>
        <a:p>
          <a:pPr>
            <a:defRPr sz="1800"/>
          </a:pPr>
          <a:endParaRPr lang="en-US"/>
        </a:p>
      </c:txPr>
    </c:legend>
    <c:plotVisOnly val="1"/>
    <c:dispBlanksAs val="gap"/>
    <c:showDLblsOverMax val="0"/>
  </c:chart>
  <c:printSettings>
    <c:headerFooter/>
    <c:pageMargins b="0.75000000000000633" l="0.70000000000000062" r="0.70000000000000062" t="0.75000000000000633" header="0.30000000000000032" footer="0.30000000000000032"/>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Wagner-Peyser</a:t>
            </a:r>
          </a:p>
        </c:rich>
      </c:tx>
      <c:overlay val="0"/>
    </c:title>
    <c:autoTitleDeleted val="0"/>
    <c:plotArea>
      <c:layout/>
      <c:barChart>
        <c:barDir val="col"/>
        <c:grouping val="clustered"/>
        <c:varyColors val="0"/>
        <c:ser>
          <c:idx val="0"/>
          <c:order val="0"/>
          <c:tx>
            <c:strRef>
              <c:f>'Common Measures'!$C$33</c:f>
              <c:strCache>
                <c:ptCount val="1"/>
                <c:pt idx="0">
                  <c:v>Actual</c:v>
                </c:pt>
              </c:strCache>
            </c:strRef>
          </c:tx>
          <c:invertIfNegative val="0"/>
          <c:dLbls>
            <c:dLblPos val="outEnd"/>
            <c:showLegendKey val="0"/>
            <c:showVal val="1"/>
            <c:showCatName val="0"/>
            <c:showSerName val="0"/>
            <c:showPercent val="0"/>
            <c:showBubbleSize val="0"/>
            <c:showLeaderLines val="0"/>
          </c:dLbls>
          <c:cat>
            <c:strRef>
              <c:f>'Common Measures'!$B$34:$B$36</c:f>
              <c:strCache>
                <c:ptCount val="3"/>
                <c:pt idx="0">
                  <c:v>Entered Employment</c:v>
                </c:pt>
                <c:pt idx="1">
                  <c:v>Retention Rate</c:v>
                </c:pt>
                <c:pt idx="2">
                  <c:v>Average Earnings</c:v>
                </c:pt>
              </c:strCache>
            </c:strRef>
          </c:cat>
          <c:val>
            <c:numRef>
              <c:f>'Common Measures'!$C$34:$C$36</c:f>
              <c:numCache>
                <c:formatCode>0.0%</c:formatCode>
                <c:ptCount val="3"/>
                <c:pt idx="0">
                  <c:v>0.5</c:v>
                </c:pt>
                <c:pt idx="1">
                  <c:v>0.78</c:v>
                </c:pt>
              </c:numCache>
            </c:numRef>
          </c:val>
        </c:ser>
        <c:dLbls>
          <c:showLegendKey val="0"/>
          <c:showVal val="0"/>
          <c:showCatName val="0"/>
          <c:showSerName val="0"/>
          <c:showPercent val="0"/>
          <c:showBubbleSize val="0"/>
        </c:dLbls>
        <c:gapWidth val="150"/>
        <c:axId val="145469440"/>
        <c:axId val="145470976"/>
      </c:barChart>
      <c:barChart>
        <c:barDir val="col"/>
        <c:grouping val="clustered"/>
        <c:varyColors val="0"/>
        <c:ser>
          <c:idx val="1"/>
          <c:order val="1"/>
          <c:tx>
            <c:strRef>
              <c:f>'Common Measures'!$D$33</c:f>
              <c:strCache>
                <c:ptCount val="1"/>
                <c:pt idx="0">
                  <c:v>Actual $</c:v>
                </c:pt>
              </c:strCache>
            </c:strRef>
          </c:tx>
          <c:invertIfNegative val="0"/>
          <c:dLbls>
            <c:dLblPos val="outEnd"/>
            <c:showLegendKey val="0"/>
            <c:showVal val="1"/>
            <c:showCatName val="0"/>
            <c:showSerName val="0"/>
            <c:showPercent val="0"/>
            <c:showBubbleSize val="0"/>
            <c:showLeaderLines val="0"/>
          </c:dLbls>
          <c:cat>
            <c:strRef>
              <c:f>'Common Measures'!$B$34:$B$36</c:f>
              <c:strCache>
                <c:ptCount val="3"/>
                <c:pt idx="0">
                  <c:v>Entered Employment</c:v>
                </c:pt>
                <c:pt idx="1">
                  <c:v>Retention Rate</c:v>
                </c:pt>
                <c:pt idx="2">
                  <c:v>Average Earnings</c:v>
                </c:pt>
              </c:strCache>
            </c:strRef>
          </c:cat>
          <c:val>
            <c:numRef>
              <c:f>'Common Measures'!$D$34:$D$36</c:f>
              <c:numCache>
                <c:formatCode>General</c:formatCode>
                <c:ptCount val="3"/>
                <c:pt idx="2" formatCode="&quot;$&quot;#,##0">
                  <c:v>13703</c:v>
                </c:pt>
              </c:numCache>
            </c:numRef>
          </c:val>
        </c:ser>
        <c:dLbls>
          <c:showLegendKey val="0"/>
          <c:showVal val="0"/>
          <c:showCatName val="0"/>
          <c:showSerName val="0"/>
          <c:showPercent val="0"/>
          <c:showBubbleSize val="0"/>
        </c:dLbls>
        <c:gapWidth val="150"/>
        <c:axId val="145482496"/>
        <c:axId val="145472512"/>
      </c:barChart>
      <c:scatterChart>
        <c:scatterStyle val="lineMarker"/>
        <c:varyColors val="0"/>
        <c:ser>
          <c:idx val="2"/>
          <c:order val="2"/>
          <c:tx>
            <c:strRef>
              <c:f>'Common Measures'!$E$33</c:f>
              <c:strCache>
                <c:ptCount val="1"/>
                <c:pt idx="0">
                  <c:v>Target</c:v>
                </c:pt>
              </c:strCache>
            </c:strRef>
          </c:tx>
          <c:spPr>
            <a:ln w="28575">
              <a:noFill/>
            </a:ln>
          </c:spPr>
          <c:marker>
            <c:symbol val="dash"/>
            <c:size val="30"/>
          </c:marker>
          <c:dLbls>
            <c:dLblPos val="l"/>
            <c:showLegendKey val="0"/>
            <c:showVal val="1"/>
            <c:showCatName val="0"/>
            <c:showSerName val="0"/>
            <c:showPercent val="0"/>
            <c:showBubbleSize val="0"/>
            <c:showLeaderLines val="0"/>
          </c:dLbls>
          <c:xVal>
            <c:strRef>
              <c:f>'Common Measures'!$B$34:$B$36</c:f>
              <c:strCache>
                <c:ptCount val="3"/>
                <c:pt idx="0">
                  <c:v>Entered Employment</c:v>
                </c:pt>
                <c:pt idx="1">
                  <c:v>Retention Rate</c:v>
                </c:pt>
                <c:pt idx="2">
                  <c:v>Average Earnings</c:v>
                </c:pt>
              </c:strCache>
            </c:strRef>
          </c:xVal>
          <c:yVal>
            <c:numRef>
              <c:f>'Common Measures'!$E$34:$E$36</c:f>
              <c:numCache>
                <c:formatCode>0.0%</c:formatCode>
                <c:ptCount val="3"/>
                <c:pt idx="0">
                  <c:v>0.5</c:v>
                </c:pt>
                <c:pt idx="1">
                  <c:v>0.76600000000000001</c:v>
                </c:pt>
              </c:numCache>
            </c:numRef>
          </c:yVal>
          <c:smooth val="0"/>
        </c:ser>
        <c:dLbls>
          <c:showLegendKey val="0"/>
          <c:showVal val="0"/>
          <c:showCatName val="0"/>
          <c:showSerName val="0"/>
          <c:showPercent val="0"/>
          <c:showBubbleSize val="0"/>
        </c:dLbls>
        <c:axId val="145469440"/>
        <c:axId val="145470976"/>
      </c:scatterChart>
      <c:scatterChart>
        <c:scatterStyle val="lineMarker"/>
        <c:varyColors val="0"/>
        <c:ser>
          <c:idx val="3"/>
          <c:order val="3"/>
          <c:tx>
            <c:strRef>
              <c:f>'Common Measures'!$F$33</c:f>
              <c:strCache>
                <c:ptCount val="1"/>
                <c:pt idx="0">
                  <c:v>Target $</c:v>
                </c:pt>
              </c:strCache>
            </c:strRef>
          </c:tx>
          <c:spPr>
            <a:ln w="28575">
              <a:noFill/>
            </a:ln>
          </c:spPr>
          <c:marker>
            <c:symbol val="dash"/>
            <c:size val="30"/>
            <c:spPr>
              <a:solidFill>
                <a:srgbClr val="9BBB59">
                  <a:lumMod val="75000"/>
                </a:srgbClr>
              </a:solidFill>
              <a:ln w="0">
                <a:noFill/>
              </a:ln>
            </c:spPr>
          </c:marker>
          <c:dLbls>
            <c:dLblPos val="l"/>
            <c:showLegendKey val="0"/>
            <c:showVal val="1"/>
            <c:showCatName val="0"/>
            <c:showSerName val="0"/>
            <c:showPercent val="0"/>
            <c:showBubbleSize val="0"/>
            <c:showLeaderLines val="0"/>
          </c:dLbls>
          <c:xVal>
            <c:strRef>
              <c:f>'Common Measures'!$B$34:$B$36</c:f>
              <c:strCache>
                <c:ptCount val="3"/>
                <c:pt idx="0">
                  <c:v>Entered Employment</c:v>
                </c:pt>
                <c:pt idx="1">
                  <c:v>Retention Rate</c:v>
                </c:pt>
                <c:pt idx="2">
                  <c:v>Average Earnings</c:v>
                </c:pt>
              </c:strCache>
            </c:strRef>
          </c:xVal>
          <c:yVal>
            <c:numRef>
              <c:f>'Common Measures'!$F$34:$F$36</c:f>
              <c:numCache>
                <c:formatCode>General</c:formatCode>
                <c:ptCount val="3"/>
                <c:pt idx="2" formatCode="&quot;$&quot;#,##0">
                  <c:v>13500</c:v>
                </c:pt>
              </c:numCache>
            </c:numRef>
          </c:yVal>
          <c:smooth val="0"/>
        </c:ser>
        <c:dLbls>
          <c:showLegendKey val="0"/>
          <c:showVal val="0"/>
          <c:showCatName val="0"/>
          <c:showSerName val="0"/>
          <c:showPercent val="0"/>
          <c:showBubbleSize val="0"/>
        </c:dLbls>
        <c:axId val="145482496"/>
        <c:axId val="145472512"/>
      </c:scatterChart>
      <c:catAx>
        <c:axId val="145469440"/>
        <c:scaling>
          <c:orientation val="minMax"/>
        </c:scaling>
        <c:delete val="0"/>
        <c:axPos val="b"/>
        <c:majorTickMark val="out"/>
        <c:minorTickMark val="none"/>
        <c:tickLblPos val="nextTo"/>
        <c:crossAx val="145470976"/>
        <c:crosses val="autoZero"/>
        <c:auto val="1"/>
        <c:lblAlgn val="ctr"/>
        <c:lblOffset val="100"/>
        <c:noMultiLvlLbl val="0"/>
      </c:catAx>
      <c:valAx>
        <c:axId val="145470976"/>
        <c:scaling>
          <c:orientation val="minMax"/>
          <c:max val="1"/>
        </c:scaling>
        <c:delete val="0"/>
        <c:axPos val="l"/>
        <c:majorGridlines/>
        <c:numFmt formatCode="0%" sourceLinked="0"/>
        <c:majorTickMark val="out"/>
        <c:minorTickMark val="none"/>
        <c:tickLblPos val="nextTo"/>
        <c:crossAx val="145469440"/>
        <c:crosses val="autoZero"/>
        <c:crossBetween val="between"/>
      </c:valAx>
      <c:valAx>
        <c:axId val="145472512"/>
        <c:scaling>
          <c:orientation val="minMax"/>
          <c:min val="0"/>
        </c:scaling>
        <c:delete val="0"/>
        <c:axPos val="r"/>
        <c:numFmt formatCode="&quot;$&quot;#,##0" sourceLinked="0"/>
        <c:majorTickMark val="out"/>
        <c:minorTickMark val="none"/>
        <c:tickLblPos val="nextTo"/>
        <c:crossAx val="145482496"/>
        <c:crosses val="max"/>
        <c:crossBetween val="between"/>
      </c:valAx>
      <c:catAx>
        <c:axId val="145482496"/>
        <c:scaling>
          <c:orientation val="minMax"/>
        </c:scaling>
        <c:delete val="1"/>
        <c:axPos val="b"/>
        <c:majorTickMark val="out"/>
        <c:minorTickMark val="none"/>
        <c:tickLblPos val="none"/>
        <c:crossAx val="145472512"/>
        <c:crosses val="autoZero"/>
        <c:auto val="1"/>
        <c:lblAlgn val="ctr"/>
        <c:lblOffset val="100"/>
        <c:noMultiLvlLbl val="0"/>
      </c:catAx>
    </c:plotArea>
    <c:legend>
      <c:legendPos val="t"/>
      <c:legendEntry>
        <c:idx val="1"/>
        <c:delete val="1"/>
      </c:legendEntry>
      <c:legendEntry>
        <c:idx val="3"/>
        <c:delete val="1"/>
      </c:legendEntry>
      <c:overlay val="0"/>
    </c:legend>
    <c:plotVisOnly val="1"/>
    <c:dispBlanksAs val="gap"/>
    <c:showDLblsOverMax val="0"/>
  </c:chart>
  <c:printSettings>
    <c:headerFooter/>
    <c:pageMargins b="0.75000000000000611" l="0.70000000000000062" r="0.70000000000000062" t="0.75000000000000611"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a:pPr>
            <a:r>
              <a:rPr lang="en-US"/>
              <a:t>WIA Adult</a:t>
            </a:r>
          </a:p>
        </c:rich>
      </c:tx>
      <c:overlay val="0"/>
    </c:title>
    <c:autoTitleDeleted val="0"/>
    <c:plotArea>
      <c:layout/>
      <c:barChart>
        <c:barDir val="col"/>
        <c:grouping val="clustered"/>
        <c:varyColors val="0"/>
        <c:ser>
          <c:idx val="0"/>
          <c:order val="0"/>
          <c:tx>
            <c:strRef>
              <c:f>'Common Measures'!$C$33</c:f>
              <c:strCache>
                <c:ptCount val="1"/>
                <c:pt idx="0">
                  <c:v>Actual</c:v>
                </c:pt>
              </c:strCache>
            </c:strRef>
          </c:tx>
          <c:invertIfNegative val="0"/>
          <c:dLbls>
            <c:txPr>
              <a:bodyPr/>
              <a:lstStyle/>
              <a:p>
                <a:pPr>
                  <a:defRPr sz="1800"/>
                </a:pPr>
                <a:endParaRPr lang="en-US"/>
              </a:p>
            </c:txPr>
            <c:dLblPos val="outEnd"/>
            <c:showLegendKey val="0"/>
            <c:showVal val="1"/>
            <c:showCatName val="0"/>
            <c:showSerName val="0"/>
            <c:showPercent val="0"/>
            <c:showBubbleSize val="0"/>
            <c:showLeaderLines val="0"/>
          </c:dLbls>
          <c:cat>
            <c:strRef>
              <c:f>'Common Measures'!$B$34:$B$36</c:f>
              <c:strCache>
                <c:ptCount val="3"/>
                <c:pt idx="0">
                  <c:v>Entered Employment</c:v>
                </c:pt>
                <c:pt idx="1">
                  <c:v>Retention Rate</c:v>
                </c:pt>
                <c:pt idx="2">
                  <c:v>Average Earnings</c:v>
                </c:pt>
              </c:strCache>
            </c:strRef>
          </c:cat>
          <c:val>
            <c:numRef>
              <c:f>'Common Measures'!$C$39:$C$41</c:f>
              <c:numCache>
                <c:formatCode>0.0%</c:formatCode>
                <c:ptCount val="3"/>
                <c:pt idx="0">
                  <c:v>0.81081081081081086</c:v>
                </c:pt>
                <c:pt idx="1">
                  <c:v>0.87248322147651003</c:v>
                </c:pt>
              </c:numCache>
            </c:numRef>
          </c:val>
        </c:ser>
        <c:dLbls>
          <c:showLegendKey val="0"/>
          <c:showVal val="0"/>
          <c:showCatName val="0"/>
          <c:showSerName val="0"/>
          <c:showPercent val="0"/>
          <c:showBubbleSize val="0"/>
        </c:dLbls>
        <c:gapWidth val="150"/>
        <c:axId val="146277120"/>
        <c:axId val="146278656"/>
      </c:barChart>
      <c:barChart>
        <c:barDir val="col"/>
        <c:grouping val="clustered"/>
        <c:varyColors val="0"/>
        <c:ser>
          <c:idx val="1"/>
          <c:order val="1"/>
          <c:tx>
            <c:strRef>
              <c:f>'Common Measures'!$D$33</c:f>
              <c:strCache>
                <c:ptCount val="1"/>
                <c:pt idx="0">
                  <c:v>Actual $</c:v>
                </c:pt>
              </c:strCache>
            </c:strRef>
          </c:tx>
          <c:invertIfNegative val="0"/>
          <c:dLbls>
            <c:txPr>
              <a:bodyPr/>
              <a:lstStyle/>
              <a:p>
                <a:pPr>
                  <a:defRPr sz="1800"/>
                </a:pPr>
                <a:endParaRPr lang="en-US"/>
              </a:p>
            </c:txPr>
            <c:dLblPos val="outEnd"/>
            <c:showLegendKey val="0"/>
            <c:showVal val="1"/>
            <c:showCatName val="0"/>
            <c:showSerName val="0"/>
            <c:showPercent val="0"/>
            <c:showBubbleSize val="0"/>
            <c:showLeaderLines val="0"/>
          </c:dLbls>
          <c:cat>
            <c:strRef>
              <c:f>'Common Measures'!$B$34:$B$36</c:f>
              <c:strCache>
                <c:ptCount val="3"/>
                <c:pt idx="0">
                  <c:v>Entered Employment</c:v>
                </c:pt>
                <c:pt idx="1">
                  <c:v>Retention Rate</c:v>
                </c:pt>
                <c:pt idx="2">
                  <c:v>Average Earnings</c:v>
                </c:pt>
              </c:strCache>
            </c:strRef>
          </c:cat>
          <c:val>
            <c:numRef>
              <c:f>'Common Measures'!$D$39:$D$41</c:f>
              <c:numCache>
                <c:formatCode>General</c:formatCode>
                <c:ptCount val="3"/>
                <c:pt idx="2" formatCode="&quot;$&quot;#,##0">
                  <c:v>14112.295081967213</c:v>
                </c:pt>
              </c:numCache>
            </c:numRef>
          </c:val>
        </c:ser>
        <c:dLbls>
          <c:showLegendKey val="0"/>
          <c:showVal val="0"/>
          <c:showCatName val="0"/>
          <c:showSerName val="0"/>
          <c:showPercent val="0"/>
          <c:showBubbleSize val="0"/>
        </c:dLbls>
        <c:gapWidth val="150"/>
        <c:axId val="146302464"/>
        <c:axId val="146300928"/>
      </c:barChart>
      <c:scatterChart>
        <c:scatterStyle val="lineMarker"/>
        <c:varyColors val="0"/>
        <c:ser>
          <c:idx val="2"/>
          <c:order val="2"/>
          <c:tx>
            <c:strRef>
              <c:f>'Common Measures'!$E$33</c:f>
              <c:strCache>
                <c:ptCount val="1"/>
                <c:pt idx="0">
                  <c:v>Target</c:v>
                </c:pt>
              </c:strCache>
            </c:strRef>
          </c:tx>
          <c:spPr>
            <a:ln w="25400">
              <a:noFill/>
            </a:ln>
          </c:spPr>
          <c:dLbls>
            <c:dLbl>
              <c:idx val="0"/>
              <c:dLblPos val="l"/>
              <c:showLegendKey val="0"/>
              <c:showVal val="1"/>
              <c:showCatName val="0"/>
              <c:showSerName val="0"/>
              <c:showPercent val="0"/>
              <c:showBubbleSize val="0"/>
            </c:dLbl>
            <c:dLbl>
              <c:idx val="1"/>
              <c:dLblPos val="l"/>
              <c:showLegendKey val="0"/>
              <c:showVal val="1"/>
              <c:showCatName val="0"/>
              <c:showSerName val="0"/>
              <c:showPercent val="0"/>
              <c:showBubbleSize val="0"/>
            </c:dLbl>
            <c:spPr>
              <a:solidFill>
                <a:schemeClr val="lt1"/>
              </a:solidFill>
              <a:ln w="25400" cap="flat" cmpd="sng" algn="ctr">
                <a:solidFill>
                  <a:schemeClr val="accent3"/>
                </a:solidFill>
                <a:prstDash val="solid"/>
              </a:ln>
              <a:effectLst/>
            </c:spPr>
            <c:txPr>
              <a:bodyPr/>
              <a:lstStyle/>
              <a:p>
                <a:pPr>
                  <a:defRPr>
                    <a:solidFill>
                      <a:schemeClr val="dk1"/>
                    </a:solidFill>
                    <a:latin typeface="+mn-lt"/>
                    <a:ea typeface="+mn-ea"/>
                    <a:cs typeface="+mn-cs"/>
                  </a:defRPr>
                </a:pPr>
                <a:endParaRPr lang="en-US"/>
              </a:p>
            </c:txPr>
            <c:dLblPos val="r"/>
            <c:showLegendKey val="0"/>
            <c:showVal val="1"/>
            <c:showCatName val="0"/>
            <c:showSerName val="0"/>
            <c:showPercent val="0"/>
            <c:showBubbleSize val="0"/>
            <c:showLeaderLines val="0"/>
          </c:dLbls>
          <c:xVal>
            <c:strRef>
              <c:f>'Common Measures'!$B$39:$B$41</c:f>
              <c:strCache>
                <c:ptCount val="3"/>
                <c:pt idx="0">
                  <c:v>Entered Employment</c:v>
                </c:pt>
                <c:pt idx="1">
                  <c:v>Retention Rate</c:v>
                </c:pt>
                <c:pt idx="2">
                  <c:v>Average Earnings</c:v>
                </c:pt>
              </c:strCache>
            </c:strRef>
          </c:xVal>
          <c:yVal>
            <c:numRef>
              <c:f>'Common Measures'!$E$39:$E$41</c:f>
              <c:numCache>
                <c:formatCode>0.0%</c:formatCode>
                <c:ptCount val="3"/>
                <c:pt idx="0">
                  <c:v>0.77500000000000002</c:v>
                </c:pt>
                <c:pt idx="1">
                  <c:v>0.82</c:v>
                </c:pt>
              </c:numCache>
            </c:numRef>
          </c:yVal>
          <c:smooth val="0"/>
        </c:ser>
        <c:dLbls>
          <c:showLegendKey val="0"/>
          <c:showVal val="0"/>
          <c:showCatName val="0"/>
          <c:showSerName val="0"/>
          <c:showPercent val="0"/>
          <c:showBubbleSize val="0"/>
        </c:dLbls>
        <c:axId val="146277120"/>
        <c:axId val="146278656"/>
      </c:scatterChart>
      <c:scatterChart>
        <c:scatterStyle val="lineMarker"/>
        <c:varyColors val="0"/>
        <c:ser>
          <c:idx val="3"/>
          <c:order val="3"/>
          <c:tx>
            <c:strRef>
              <c:f>'Common Measures'!$F$33</c:f>
              <c:strCache>
                <c:ptCount val="1"/>
                <c:pt idx="0">
                  <c:v>Target $</c:v>
                </c:pt>
              </c:strCache>
            </c:strRef>
          </c:tx>
          <c:spPr>
            <a:ln w="25400">
              <a:noFill/>
            </a:ln>
          </c:spPr>
          <c:dLbls>
            <c:spPr>
              <a:solidFill>
                <a:schemeClr val="lt1"/>
              </a:solidFill>
              <a:ln w="25400" cap="flat" cmpd="sng" algn="ctr">
                <a:solidFill>
                  <a:schemeClr val="accent4"/>
                </a:solidFill>
                <a:prstDash val="solid"/>
              </a:ln>
              <a:effectLst/>
            </c:spPr>
            <c:txPr>
              <a:bodyPr/>
              <a:lstStyle/>
              <a:p>
                <a:pPr>
                  <a:defRPr>
                    <a:solidFill>
                      <a:schemeClr val="dk1"/>
                    </a:solidFill>
                    <a:latin typeface="+mn-lt"/>
                    <a:ea typeface="+mn-ea"/>
                    <a:cs typeface="+mn-cs"/>
                  </a:defRPr>
                </a:pPr>
                <a:endParaRPr lang="en-US"/>
              </a:p>
            </c:txPr>
            <c:dLblPos val="l"/>
            <c:showLegendKey val="0"/>
            <c:showVal val="1"/>
            <c:showCatName val="0"/>
            <c:showSerName val="0"/>
            <c:showPercent val="0"/>
            <c:showBubbleSize val="0"/>
            <c:showLeaderLines val="0"/>
          </c:dLbls>
          <c:xVal>
            <c:strRef>
              <c:f>'Common Measures'!$B$39:$B$41</c:f>
              <c:strCache>
                <c:ptCount val="3"/>
                <c:pt idx="0">
                  <c:v>Entered Employment</c:v>
                </c:pt>
                <c:pt idx="1">
                  <c:v>Retention Rate</c:v>
                </c:pt>
                <c:pt idx="2">
                  <c:v>Average Earnings</c:v>
                </c:pt>
              </c:strCache>
            </c:strRef>
          </c:xVal>
          <c:yVal>
            <c:numRef>
              <c:f>'Common Measures'!$F$39:$F$41</c:f>
              <c:numCache>
                <c:formatCode>General</c:formatCode>
                <c:ptCount val="3"/>
                <c:pt idx="2" formatCode="&quot;$&quot;#,##0">
                  <c:v>9721</c:v>
                </c:pt>
              </c:numCache>
            </c:numRef>
          </c:yVal>
          <c:smooth val="0"/>
        </c:ser>
        <c:dLbls>
          <c:showLegendKey val="0"/>
          <c:showVal val="0"/>
          <c:showCatName val="0"/>
          <c:showSerName val="0"/>
          <c:showPercent val="0"/>
          <c:showBubbleSize val="0"/>
        </c:dLbls>
        <c:axId val="146302464"/>
        <c:axId val="146300928"/>
      </c:scatterChart>
      <c:catAx>
        <c:axId val="146277120"/>
        <c:scaling>
          <c:orientation val="minMax"/>
        </c:scaling>
        <c:delete val="0"/>
        <c:axPos val="b"/>
        <c:numFmt formatCode="@" sourceLinked="0"/>
        <c:majorTickMark val="none"/>
        <c:minorTickMark val="none"/>
        <c:tickLblPos val="nextTo"/>
        <c:txPr>
          <a:bodyPr/>
          <a:lstStyle/>
          <a:p>
            <a:pPr>
              <a:defRPr sz="1600"/>
            </a:pPr>
            <a:endParaRPr lang="en-US"/>
          </a:p>
        </c:txPr>
        <c:crossAx val="146278656"/>
        <c:crosses val="autoZero"/>
        <c:auto val="1"/>
        <c:lblAlgn val="ctr"/>
        <c:lblOffset val="100"/>
        <c:noMultiLvlLbl val="0"/>
      </c:catAx>
      <c:valAx>
        <c:axId val="146278656"/>
        <c:scaling>
          <c:orientation val="minMax"/>
          <c:max val="1"/>
        </c:scaling>
        <c:delete val="0"/>
        <c:axPos val="l"/>
        <c:majorGridlines/>
        <c:numFmt formatCode="0%" sourceLinked="0"/>
        <c:majorTickMark val="none"/>
        <c:minorTickMark val="none"/>
        <c:tickLblPos val="nextTo"/>
        <c:crossAx val="146277120"/>
        <c:crosses val="autoZero"/>
        <c:crossBetween val="between"/>
        <c:majorUnit val="0.25"/>
      </c:valAx>
      <c:valAx>
        <c:axId val="146300928"/>
        <c:scaling>
          <c:orientation val="minMax"/>
          <c:min val="0"/>
        </c:scaling>
        <c:delete val="0"/>
        <c:axPos val="r"/>
        <c:numFmt formatCode="&quot;$&quot;#,##0" sourceLinked="0"/>
        <c:majorTickMark val="out"/>
        <c:minorTickMark val="none"/>
        <c:tickLblPos val="nextTo"/>
        <c:crossAx val="146302464"/>
        <c:crosses val="max"/>
        <c:crossBetween val="between"/>
        <c:majorUnit val="5000"/>
      </c:valAx>
      <c:catAx>
        <c:axId val="146302464"/>
        <c:scaling>
          <c:orientation val="minMax"/>
        </c:scaling>
        <c:delete val="1"/>
        <c:axPos val="b"/>
        <c:majorTickMark val="out"/>
        <c:minorTickMark val="none"/>
        <c:tickLblPos val="none"/>
        <c:crossAx val="146300928"/>
        <c:crosses val="autoZero"/>
        <c:auto val="1"/>
        <c:lblAlgn val="ctr"/>
        <c:lblOffset val="100"/>
        <c:noMultiLvlLbl val="0"/>
      </c:catAx>
      <c:dTable>
        <c:showHorzBorder val="1"/>
        <c:showVertBorder val="1"/>
        <c:showOutline val="1"/>
        <c:showKeys val="1"/>
      </c:dTable>
    </c:plotArea>
    <c:plotVisOnly val="1"/>
    <c:dispBlanksAs val="gap"/>
    <c:showDLblsOverMax val="0"/>
  </c:chart>
  <c:printSettings>
    <c:headerFooter/>
    <c:pageMargins b="0.75000000000000699" l="0.70000000000000062" r="0.70000000000000062" t="0.75000000000000699"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a:pPr>
            <a:r>
              <a:rPr lang="en-US"/>
              <a:t>Youth Common Measures</a:t>
            </a:r>
          </a:p>
        </c:rich>
      </c:tx>
      <c:overlay val="0"/>
    </c:title>
    <c:autoTitleDeleted val="0"/>
    <c:plotArea>
      <c:layout/>
      <c:barChart>
        <c:barDir val="col"/>
        <c:grouping val="clustered"/>
        <c:varyColors val="0"/>
        <c:ser>
          <c:idx val="0"/>
          <c:order val="0"/>
          <c:tx>
            <c:v>Actual Rates</c:v>
          </c:tx>
          <c:invertIfNegative val="0"/>
          <c:dLbls>
            <c:txPr>
              <a:bodyPr/>
              <a:lstStyle/>
              <a:p>
                <a:pPr>
                  <a:defRPr sz="1800"/>
                </a:pPr>
                <a:endParaRPr lang="en-US"/>
              </a:p>
            </c:txPr>
            <c:dLblPos val="outEnd"/>
            <c:showLegendKey val="0"/>
            <c:showVal val="1"/>
            <c:showCatName val="0"/>
            <c:showSerName val="0"/>
            <c:showPercent val="0"/>
            <c:showBubbleSize val="0"/>
            <c:showLeaderLines val="0"/>
          </c:dLbls>
          <c:cat>
            <c:strRef>
              <c:f>'Area Data'!$F$16:$F$18</c:f>
              <c:strCache>
                <c:ptCount val="3"/>
                <c:pt idx="0">
                  <c:v>Certificate Rate</c:v>
                </c:pt>
                <c:pt idx="1">
                  <c:v>Literacy/Numeracy Rate</c:v>
                </c:pt>
                <c:pt idx="2">
                  <c:v>Placement Rate</c:v>
                </c:pt>
              </c:strCache>
            </c:strRef>
          </c:cat>
          <c:val>
            <c:numRef>
              <c:f>'Area Data'!$I$16:$I$18</c:f>
              <c:numCache>
                <c:formatCode>0.0%</c:formatCode>
                <c:ptCount val="3"/>
                <c:pt idx="0">
                  <c:v>0.8</c:v>
                </c:pt>
                <c:pt idx="1">
                  <c:v>0.65217391304347827</c:v>
                </c:pt>
                <c:pt idx="2">
                  <c:v>0.76923076923076927</c:v>
                </c:pt>
              </c:numCache>
            </c:numRef>
          </c:val>
        </c:ser>
        <c:dLbls>
          <c:showLegendKey val="0"/>
          <c:showVal val="0"/>
          <c:showCatName val="0"/>
          <c:showSerName val="0"/>
          <c:showPercent val="0"/>
          <c:showBubbleSize val="0"/>
        </c:dLbls>
        <c:gapWidth val="150"/>
        <c:axId val="146347136"/>
        <c:axId val="146348672"/>
      </c:barChart>
      <c:lineChart>
        <c:grouping val="standard"/>
        <c:varyColors val="0"/>
        <c:ser>
          <c:idx val="1"/>
          <c:order val="1"/>
          <c:tx>
            <c:v>Measure Target</c:v>
          </c:tx>
          <c:spPr>
            <a:ln w="66675">
              <a:noFill/>
            </a:ln>
          </c:spPr>
          <c:dLbls>
            <c:spPr>
              <a:solidFill>
                <a:schemeClr val="lt1"/>
              </a:solidFill>
              <a:ln w="25400" cap="flat" cmpd="sng" algn="ctr">
                <a:solidFill>
                  <a:schemeClr val="accent2"/>
                </a:solidFill>
                <a:prstDash val="solid"/>
              </a:ln>
              <a:effectLst/>
            </c:spPr>
            <c:txPr>
              <a:bodyPr/>
              <a:lstStyle/>
              <a:p>
                <a:pPr>
                  <a:defRPr>
                    <a:solidFill>
                      <a:schemeClr val="dk1"/>
                    </a:solidFill>
                    <a:latin typeface="+mn-lt"/>
                    <a:ea typeface="+mn-ea"/>
                    <a:cs typeface="+mn-cs"/>
                  </a:defRPr>
                </a:pPr>
                <a:endParaRPr lang="en-US"/>
              </a:p>
            </c:txPr>
            <c:dLblPos val="l"/>
            <c:showLegendKey val="0"/>
            <c:showVal val="1"/>
            <c:showCatName val="0"/>
            <c:showSerName val="0"/>
            <c:showPercent val="0"/>
            <c:showBubbleSize val="0"/>
            <c:showLeaderLines val="0"/>
          </c:dLbls>
          <c:cat>
            <c:strRef>
              <c:f>'Area Data'!$F$16:$F$18</c:f>
              <c:strCache>
                <c:ptCount val="3"/>
                <c:pt idx="0">
                  <c:v>Certificate Rate</c:v>
                </c:pt>
                <c:pt idx="1">
                  <c:v>Literacy/Numeracy Rate</c:v>
                </c:pt>
                <c:pt idx="2">
                  <c:v>Placement Rate</c:v>
                </c:pt>
              </c:strCache>
            </c:strRef>
          </c:cat>
          <c:val>
            <c:numRef>
              <c:f>'Area Data'!$J$16:$J$18</c:f>
              <c:numCache>
                <c:formatCode>0.0%</c:formatCode>
                <c:ptCount val="3"/>
                <c:pt idx="0">
                  <c:v>0.66500000000000004</c:v>
                </c:pt>
                <c:pt idx="1">
                  <c:v>0.34599999999999997</c:v>
                </c:pt>
                <c:pt idx="2">
                  <c:v>0.58799999999999997</c:v>
                </c:pt>
              </c:numCache>
            </c:numRef>
          </c:val>
          <c:smooth val="0"/>
        </c:ser>
        <c:dLbls>
          <c:showLegendKey val="0"/>
          <c:showVal val="0"/>
          <c:showCatName val="0"/>
          <c:showSerName val="0"/>
          <c:showPercent val="0"/>
          <c:showBubbleSize val="0"/>
        </c:dLbls>
        <c:marker val="1"/>
        <c:smooth val="0"/>
        <c:axId val="146347136"/>
        <c:axId val="146348672"/>
      </c:lineChart>
      <c:catAx>
        <c:axId val="146347136"/>
        <c:scaling>
          <c:orientation val="minMax"/>
        </c:scaling>
        <c:delete val="0"/>
        <c:axPos val="b"/>
        <c:majorTickMark val="none"/>
        <c:minorTickMark val="none"/>
        <c:tickLblPos val="none"/>
        <c:crossAx val="146348672"/>
        <c:crosses val="autoZero"/>
        <c:auto val="1"/>
        <c:lblAlgn val="ctr"/>
        <c:lblOffset val="100"/>
        <c:noMultiLvlLbl val="0"/>
      </c:catAx>
      <c:valAx>
        <c:axId val="146348672"/>
        <c:scaling>
          <c:orientation val="minMax"/>
          <c:max val="1"/>
        </c:scaling>
        <c:delete val="0"/>
        <c:axPos val="l"/>
        <c:majorGridlines/>
        <c:numFmt formatCode="0.0%" sourceLinked="1"/>
        <c:majorTickMark val="none"/>
        <c:minorTickMark val="none"/>
        <c:tickLblPos val="low"/>
        <c:crossAx val="146347136"/>
        <c:crosses val="autoZero"/>
        <c:crossBetween val="between"/>
        <c:majorUnit val="0.2"/>
      </c:valAx>
      <c:dTable>
        <c:showHorzBorder val="1"/>
        <c:showVertBorder val="1"/>
        <c:showOutline val="1"/>
        <c:showKeys val="1"/>
        <c:txPr>
          <a:bodyPr/>
          <a:lstStyle/>
          <a:p>
            <a:pPr rtl="0">
              <a:defRPr sz="1200"/>
            </a:pPr>
            <a:endParaRPr lang="en-US"/>
          </a:p>
        </c:txPr>
      </c:dTable>
    </c:plotArea>
    <c:plotVisOnly val="1"/>
    <c:dispBlanksAs val="zero"/>
    <c:showDLblsOverMax val="0"/>
  </c:chart>
  <c:printSettings>
    <c:headerFooter/>
    <c:pageMargins b="0.75000000000000999" l="0.70000000000000062" r="0.70000000000000062" t="0.75000000000000999"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a:pPr>
            <a:r>
              <a:rPr lang="en-US"/>
              <a:t>Program Participants</a:t>
            </a:r>
          </a:p>
        </c:rich>
      </c:tx>
      <c:overlay val="0"/>
    </c:title>
    <c:autoTitleDeleted val="0"/>
    <c:plotArea>
      <c:layout>
        <c:manualLayout>
          <c:layoutTarget val="inner"/>
          <c:xMode val="edge"/>
          <c:yMode val="edge"/>
          <c:x val="0.15263960815742469"/>
          <c:y val="0.20985795107655988"/>
          <c:w val="0.81287916695482665"/>
          <c:h val="0.57991959153585593"/>
        </c:manualLayout>
      </c:layout>
      <c:barChart>
        <c:barDir val="col"/>
        <c:grouping val="clustered"/>
        <c:varyColors val="0"/>
        <c:ser>
          <c:idx val="0"/>
          <c:order val="0"/>
          <c:tx>
            <c:v>1 Year Ago</c:v>
          </c:tx>
          <c:spPr>
            <a:solidFill>
              <a:schemeClr val="lt1"/>
            </a:solidFill>
            <a:ln w="38100" cap="flat" cmpd="sng" algn="ctr">
              <a:solidFill>
                <a:schemeClr val="accent1"/>
              </a:solidFill>
              <a:prstDash val="solid"/>
            </a:ln>
            <a:effectLst/>
          </c:spPr>
          <c:invertIfNegative val="0"/>
          <c:dLbls>
            <c:delete val="1"/>
          </c:dLbls>
          <c:cat>
            <c:strRef>
              <c:f>'State Data'!$B$19:$B$22</c:f>
              <c:strCache>
                <c:ptCount val="4"/>
                <c:pt idx="0">
                  <c:v>Program Participants</c:v>
                </c:pt>
                <c:pt idx="1">
                  <c:v>WIA Participants</c:v>
                </c:pt>
                <c:pt idx="2">
                  <c:v>New WIA Participants</c:v>
                </c:pt>
                <c:pt idx="3">
                  <c:v>WIA Exiters</c:v>
                </c:pt>
              </c:strCache>
            </c:strRef>
          </c:cat>
          <c:val>
            <c:numRef>
              <c:f>'Area Data'!$D$20:$D$23</c:f>
              <c:numCache>
                <c:formatCode>#,##0</c:formatCode>
                <c:ptCount val="4"/>
                <c:pt idx="0">
                  <c:v>999</c:v>
                </c:pt>
                <c:pt idx="1">
                  <c:v>627</c:v>
                </c:pt>
                <c:pt idx="2">
                  <c:v>131</c:v>
                </c:pt>
                <c:pt idx="3">
                  <c:v>140</c:v>
                </c:pt>
              </c:numCache>
            </c:numRef>
          </c:val>
        </c:ser>
        <c:ser>
          <c:idx val="1"/>
          <c:order val="1"/>
          <c:tx>
            <c:v>Current Quarter</c:v>
          </c:tx>
          <c:spPr>
            <a:solidFill>
              <a:schemeClr val="lt1"/>
            </a:solidFill>
            <a:ln w="38100" cap="flat" cmpd="sng" algn="ctr">
              <a:solidFill>
                <a:schemeClr val="accent3"/>
              </a:solidFill>
              <a:prstDash val="solid"/>
            </a:ln>
            <a:effectLst/>
          </c:spPr>
          <c:invertIfNegative val="0"/>
          <c:dLbls>
            <c:txPr>
              <a:bodyPr/>
              <a:lstStyle/>
              <a:p>
                <a:pPr>
                  <a:defRPr sz="1400" b="1"/>
                </a:pPr>
                <a:endParaRPr lang="en-US"/>
              </a:p>
            </c:txPr>
            <c:showLegendKey val="0"/>
            <c:showVal val="1"/>
            <c:showCatName val="0"/>
            <c:showSerName val="0"/>
            <c:showPercent val="0"/>
            <c:showBubbleSize val="0"/>
            <c:showLeaderLines val="0"/>
          </c:dLbls>
          <c:cat>
            <c:strRef>
              <c:f>'State Data'!$B$19:$B$22</c:f>
              <c:strCache>
                <c:ptCount val="4"/>
                <c:pt idx="0">
                  <c:v>Program Participants</c:v>
                </c:pt>
                <c:pt idx="1">
                  <c:v>WIA Participants</c:v>
                </c:pt>
                <c:pt idx="2">
                  <c:v>New WIA Participants</c:v>
                </c:pt>
                <c:pt idx="3">
                  <c:v>WIA Exiters</c:v>
                </c:pt>
              </c:strCache>
            </c:strRef>
          </c:cat>
          <c:val>
            <c:numRef>
              <c:f>'Area Data'!$C$20:$C$23</c:f>
              <c:numCache>
                <c:formatCode>#,##0</c:formatCode>
                <c:ptCount val="4"/>
                <c:pt idx="0">
                  <c:v>676</c:v>
                </c:pt>
                <c:pt idx="1">
                  <c:v>431</c:v>
                </c:pt>
                <c:pt idx="2">
                  <c:v>103</c:v>
                </c:pt>
                <c:pt idx="3">
                  <c:v>96</c:v>
                </c:pt>
              </c:numCache>
            </c:numRef>
          </c:val>
        </c:ser>
        <c:dLbls>
          <c:showLegendKey val="0"/>
          <c:showVal val="1"/>
          <c:showCatName val="0"/>
          <c:showSerName val="0"/>
          <c:showPercent val="0"/>
          <c:showBubbleSize val="0"/>
        </c:dLbls>
        <c:gapWidth val="150"/>
        <c:axId val="139839360"/>
        <c:axId val="139840896"/>
      </c:barChart>
      <c:catAx>
        <c:axId val="139839360"/>
        <c:scaling>
          <c:orientation val="minMax"/>
        </c:scaling>
        <c:delete val="0"/>
        <c:axPos val="b"/>
        <c:numFmt formatCode="General" sourceLinked="1"/>
        <c:majorTickMark val="out"/>
        <c:minorTickMark val="none"/>
        <c:tickLblPos val="nextTo"/>
        <c:txPr>
          <a:bodyPr/>
          <a:lstStyle/>
          <a:p>
            <a:pPr>
              <a:defRPr b="1"/>
            </a:pPr>
            <a:endParaRPr lang="en-US"/>
          </a:p>
        </c:txPr>
        <c:crossAx val="139840896"/>
        <c:crosses val="autoZero"/>
        <c:auto val="1"/>
        <c:lblAlgn val="ctr"/>
        <c:lblOffset val="100"/>
        <c:noMultiLvlLbl val="0"/>
      </c:catAx>
      <c:valAx>
        <c:axId val="139840896"/>
        <c:scaling>
          <c:orientation val="minMax"/>
        </c:scaling>
        <c:delete val="0"/>
        <c:axPos val="l"/>
        <c:majorGridlines/>
        <c:numFmt formatCode="#,##0" sourceLinked="1"/>
        <c:majorTickMark val="out"/>
        <c:minorTickMark val="none"/>
        <c:tickLblPos val="nextTo"/>
        <c:txPr>
          <a:bodyPr/>
          <a:lstStyle/>
          <a:p>
            <a:pPr>
              <a:defRPr b="0"/>
            </a:pPr>
            <a:endParaRPr lang="en-US"/>
          </a:p>
        </c:txPr>
        <c:crossAx val="139839360"/>
        <c:crosses val="autoZero"/>
        <c:crossBetween val="between"/>
      </c:valAx>
    </c:plotArea>
    <c:legend>
      <c:legendPos val="t"/>
      <c:layout>
        <c:manualLayout>
          <c:xMode val="edge"/>
          <c:yMode val="edge"/>
          <c:x val="0.13111041171228491"/>
          <c:y val="0.12243160984257492"/>
          <c:w val="0.70326992005014577"/>
          <c:h val="8.652776182577146E-2"/>
        </c:manualLayout>
      </c:layout>
      <c:overlay val="0"/>
      <c:txPr>
        <a:bodyPr/>
        <a:lstStyle/>
        <a:p>
          <a:pPr>
            <a:defRPr sz="1300"/>
          </a:pPr>
          <a:endParaRPr lang="en-US"/>
        </a:p>
      </c:txPr>
    </c:legend>
    <c:plotVisOnly val="1"/>
    <c:dispBlanksAs val="gap"/>
    <c:showDLblsOverMax val="0"/>
  </c:chart>
  <c:printSettings>
    <c:headerFooter/>
    <c:pageMargins b="0.7500000000000091" l="0.70000000000000062" r="0.70000000000000062" t="0.7500000000000091"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a:pPr>
            <a:r>
              <a:rPr lang="en-US"/>
              <a:t>WIA Dislocated Worker</a:t>
            </a:r>
          </a:p>
        </c:rich>
      </c:tx>
      <c:overlay val="0"/>
    </c:title>
    <c:autoTitleDeleted val="0"/>
    <c:plotArea>
      <c:layout/>
      <c:barChart>
        <c:barDir val="col"/>
        <c:grouping val="clustered"/>
        <c:varyColors val="0"/>
        <c:ser>
          <c:idx val="0"/>
          <c:order val="0"/>
          <c:tx>
            <c:strRef>
              <c:f>'Common Measures'!$C$33</c:f>
              <c:strCache>
                <c:ptCount val="1"/>
                <c:pt idx="0">
                  <c:v>Actual</c:v>
                </c:pt>
              </c:strCache>
            </c:strRef>
          </c:tx>
          <c:invertIfNegative val="0"/>
          <c:dLbls>
            <c:txPr>
              <a:bodyPr/>
              <a:lstStyle/>
              <a:p>
                <a:pPr>
                  <a:defRPr sz="1800"/>
                </a:pPr>
                <a:endParaRPr lang="en-US"/>
              </a:p>
            </c:txPr>
            <c:dLblPos val="outEnd"/>
            <c:showLegendKey val="0"/>
            <c:showVal val="1"/>
            <c:showCatName val="0"/>
            <c:showSerName val="0"/>
            <c:showPercent val="0"/>
            <c:showBubbleSize val="0"/>
            <c:showLeaderLines val="0"/>
          </c:dLbls>
          <c:cat>
            <c:strRef>
              <c:f>'Common Measures'!$B$34:$B$36</c:f>
              <c:strCache>
                <c:ptCount val="3"/>
                <c:pt idx="0">
                  <c:v>Entered Employment</c:v>
                </c:pt>
                <c:pt idx="1">
                  <c:v>Retention Rate</c:v>
                </c:pt>
                <c:pt idx="2">
                  <c:v>Average Earnings</c:v>
                </c:pt>
              </c:strCache>
            </c:strRef>
          </c:cat>
          <c:val>
            <c:numRef>
              <c:f>'Common Measures'!$C$44:$C$46</c:f>
              <c:numCache>
                <c:formatCode>0.0%</c:formatCode>
                <c:ptCount val="3"/>
                <c:pt idx="0">
                  <c:v>0.79916317991631802</c:v>
                </c:pt>
                <c:pt idx="1">
                  <c:v>0.85526315789473684</c:v>
                </c:pt>
              </c:numCache>
            </c:numRef>
          </c:val>
        </c:ser>
        <c:dLbls>
          <c:showLegendKey val="0"/>
          <c:showVal val="0"/>
          <c:showCatName val="0"/>
          <c:showSerName val="0"/>
          <c:showPercent val="0"/>
          <c:showBubbleSize val="0"/>
        </c:dLbls>
        <c:gapWidth val="150"/>
        <c:axId val="146409344"/>
        <c:axId val="146410880"/>
      </c:barChart>
      <c:barChart>
        <c:barDir val="col"/>
        <c:grouping val="clustered"/>
        <c:varyColors val="0"/>
        <c:ser>
          <c:idx val="1"/>
          <c:order val="1"/>
          <c:tx>
            <c:strRef>
              <c:f>'Common Measures'!$D$33</c:f>
              <c:strCache>
                <c:ptCount val="1"/>
                <c:pt idx="0">
                  <c:v>Actual $</c:v>
                </c:pt>
              </c:strCache>
            </c:strRef>
          </c:tx>
          <c:invertIfNegative val="0"/>
          <c:dLbls>
            <c:txPr>
              <a:bodyPr/>
              <a:lstStyle/>
              <a:p>
                <a:pPr>
                  <a:defRPr sz="1800"/>
                </a:pPr>
                <a:endParaRPr lang="en-US"/>
              </a:p>
            </c:txPr>
            <c:dLblPos val="outEnd"/>
            <c:showLegendKey val="0"/>
            <c:showVal val="1"/>
            <c:showCatName val="0"/>
            <c:showSerName val="0"/>
            <c:showPercent val="0"/>
            <c:showBubbleSize val="0"/>
            <c:showLeaderLines val="0"/>
          </c:dLbls>
          <c:cat>
            <c:strRef>
              <c:f>'Common Measures'!$B$34:$B$36</c:f>
              <c:strCache>
                <c:ptCount val="3"/>
                <c:pt idx="0">
                  <c:v>Entered Employment</c:v>
                </c:pt>
                <c:pt idx="1">
                  <c:v>Retention Rate</c:v>
                </c:pt>
                <c:pt idx="2">
                  <c:v>Average Earnings</c:v>
                </c:pt>
              </c:strCache>
            </c:strRef>
          </c:cat>
          <c:val>
            <c:numRef>
              <c:f>'Common Measures'!$D$44:$D$46</c:f>
              <c:numCache>
                <c:formatCode>General</c:formatCode>
                <c:ptCount val="3"/>
                <c:pt idx="2" formatCode="&quot;$&quot;#,##0">
                  <c:v>18762.353448275862</c:v>
                </c:pt>
              </c:numCache>
            </c:numRef>
          </c:val>
        </c:ser>
        <c:dLbls>
          <c:showLegendKey val="0"/>
          <c:showVal val="0"/>
          <c:showCatName val="0"/>
          <c:showSerName val="0"/>
          <c:showPercent val="0"/>
          <c:showBubbleSize val="0"/>
        </c:dLbls>
        <c:gapWidth val="150"/>
        <c:axId val="146422400"/>
        <c:axId val="146420864"/>
      </c:barChart>
      <c:scatterChart>
        <c:scatterStyle val="lineMarker"/>
        <c:varyColors val="0"/>
        <c:ser>
          <c:idx val="2"/>
          <c:order val="2"/>
          <c:tx>
            <c:strRef>
              <c:f>'Common Measures'!$E$33</c:f>
              <c:strCache>
                <c:ptCount val="1"/>
                <c:pt idx="0">
                  <c:v>Target</c:v>
                </c:pt>
              </c:strCache>
            </c:strRef>
          </c:tx>
          <c:spPr>
            <a:ln w="66675">
              <a:noFill/>
            </a:ln>
          </c:spPr>
          <c:dLbls>
            <c:spPr>
              <a:solidFill>
                <a:schemeClr val="lt1"/>
              </a:solidFill>
              <a:ln w="25400" cap="flat" cmpd="sng" algn="ctr">
                <a:solidFill>
                  <a:schemeClr val="accent3"/>
                </a:solidFill>
                <a:prstDash val="solid"/>
              </a:ln>
              <a:effectLst/>
            </c:spPr>
            <c:txPr>
              <a:bodyPr/>
              <a:lstStyle/>
              <a:p>
                <a:pPr>
                  <a:defRPr>
                    <a:solidFill>
                      <a:schemeClr val="dk1"/>
                    </a:solidFill>
                    <a:latin typeface="+mn-lt"/>
                    <a:ea typeface="+mn-ea"/>
                    <a:cs typeface="+mn-cs"/>
                  </a:defRPr>
                </a:pPr>
                <a:endParaRPr lang="en-US"/>
              </a:p>
            </c:txPr>
            <c:dLblPos val="l"/>
            <c:showLegendKey val="0"/>
            <c:showVal val="1"/>
            <c:showCatName val="0"/>
            <c:showSerName val="0"/>
            <c:showPercent val="0"/>
            <c:showBubbleSize val="0"/>
            <c:showLeaderLines val="0"/>
          </c:dLbls>
          <c:xVal>
            <c:strRef>
              <c:f>'Common Measures'!$B$39:$B$41</c:f>
              <c:strCache>
                <c:ptCount val="3"/>
                <c:pt idx="0">
                  <c:v>Entered Employment</c:v>
                </c:pt>
                <c:pt idx="1">
                  <c:v>Retention Rate</c:v>
                </c:pt>
                <c:pt idx="2">
                  <c:v>Average Earnings</c:v>
                </c:pt>
              </c:strCache>
            </c:strRef>
          </c:xVal>
          <c:yVal>
            <c:numRef>
              <c:f>'Common Measures'!$E$44:$E$46</c:f>
              <c:numCache>
                <c:formatCode>0.0%</c:formatCode>
                <c:ptCount val="3"/>
                <c:pt idx="0">
                  <c:v>0.77400000000000002</c:v>
                </c:pt>
                <c:pt idx="1">
                  <c:v>0.84199999999999997</c:v>
                </c:pt>
              </c:numCache>
            </c:numRef>
          </c:yVal>
          <c:smooth val="0"/>
        </c:ser>
        <c:dLbls>
          <c:showLegendKey val="0"/>
          <c:showVal val="0"/>
          <c:showCatName val="0"/>
          <c:showSerName val="0"/>
          <c:showPercent val="0"/>
          <c:showBubbleSize val="0"/>
        </c:dLbls>
        <c:axId val="146409344"/>
        <c:axId val="146410880"/>
      </c:scatterChart>
      <c:scatterChart>
        <c:scatterStyle val="lineMarker"/>
        <c:varyColors val="0"/>
        <c:ser>
          <c:idx val="3"/>
          <c:order val="3"/>
          <c:tx>
            <c:strRef>
              <c:f>'Common Measures'!$F$33</c:f>
              <c:strCache>
                <c:ptCount val="1"/>
                <c:pt idx="0">
                  <c:v>Target $</c:v>
                </c:pt>
              </c:strCache>
            </c:strRef>
          </c:tx>
          <c:spPr>
            <a:ln w="66675">
              <a:noFill/>
            </a:ln>
          </c:spPr>
          <c:dLbls>
            <c:dLbl>
              <c:idx val="2"/>
              <c:dLblPos val="l"/>
              <c:showLegendKey val="0"/>
              <c:showVal val="1"/>
              <c:showCatName val="0"/>
              <c:showSerName val="0"/>
              <c:showPercent val="0"/>
              <c:showBubbleSize val="0"/>
            </c:dLbl>
            <c:spPr>
              <a:solidFill>
                <a:schemeClr val="lt1"/>
              </a:solidFill>
              <a:ln w="25400" cap="flat" cmpd="sng" algn="ctr">
                <a:solidFill>
                  <a:schemeClr val="accent4"/>
                </a:solidFill>
                <a:prstDash val="solid"/>
              </a:ln>
              <a:effectLst/>
            </c:spPr>
            <c:txPr>
              <a:bodyPr/>
              <a:lstStyle/>
              <a:p>
                <a:pPr>
                  <a:defRPr sz="1000">
                    <a:solidFill>
                      <a:schemeClr val="dk1"/>
                    </a:solidFill>
                    <a:latin typeface="+mn-lt"/>
                    <a:ea typeface="+mn-ea"/>
                    <a:cs typeface="+mn-cs"/>
                  </a:defRPr>
                </a:pPr>
                <a:endParaRPr lang="en-US"/>
              </a:p>
            </c:txPr>
            <c:dLblPos val="r"/>
            <c:showLegendKey val="0"/>
            <c:showVal val="1"/>
            <c:showCatName val="0"/>
            <c:showSerName val="0"/>
            <c:showPercent val="0"/>
            <c:showBubbleSize val="0"/>
            <c:showLeaderLines val="0"/>
          </c:dLbls>
          <c:xVal>
            <c:strRef>
              <c:f>'Common Measures'!$B$39:$B$41</c:f>
              <c:strCache>
                <c:ptCount val="3"/>
                <c:pt idx="0">
                  <c:v>Entered Employment</c:v>
                </c:pt>
                <c:pt idx="1">
                  <c:v>Retention Rate</c:v>
                </c:pt>
                <c:pt idx="2">
                  <c:v>Average Earnings</c:v>
                </c:pt>
              </c:strCache>
            </c:strRef>
          </c:xVal>
          <c:yVal>
            <c:numRef>
              <c:f>'Common Measures'!$F$44:$F$46</c:f>
              <c:numCache>
                <c:formatCode>General</c:formatCode>
                <c:ptCount val="3"/>
                <c:pt idx="2" formatCode="&quot;$&quot;#,##0">
                  <c:v>14926</c:v>
                </c:pt>
              </c:numCache>
            </c:numRef>
          </c:yVal>
          <c:smooth val="0"/>
        </c:ser>
        <c:dLbls>
          <c:showLegendKey val="0"/>
          <c:showVal val="0"/>
          <c:showCatName val="0"/>
          <c:showSerName val="0"/>
          <c:showPercent val="0"/>
          <c:showBubbleSize val="0"/>
        </c:dLbls>
        <c:axId val="146422400"/>
        <c:axId val="146420864"/>
      </c:scatterChart>
      <c:catAx>
        <c:axId val="146409344"/>
        <c:scaling>
          <c:orientation val="minMax"/>
        </c:scaling>
        <c:delete val="0"/>
        <c:axPos val="b"/>
        <c:numFmt formatCode="@" sourceLinked="0"/>
        <c:majorTickMark val="none"/>
        <c:minorTickMark val="none"/>
        <c:tickLblPos val="nextTo"/>
        <c:txPr>
          <a:bodyPr/>
          <a:lstStyle/>
          <a:p>
            <a:pPr>
              <a:defRPr sz="1600"/>
            </a:pPr>
            <a:endParaRPr lang="en-US"/>
          </a:p>
        </c:txPr>
        <c:crossAx val="146410880"/>
        <c:crosses val="autoZero"/>
        <c:auto val="1"/>
        <c:lblAlgn val="ctr"/>
        <c:lblOffset val="100"/>
        <c:noMultiLvlLbl val="0"/>
      </c:catAx>
      <c:valAx>
        <c:axId val="146410880"/>
        <c:scaling>
          <c:orientation val="minMax"/>
          <c:max val="1"/>
        </c:scaling>
        <c:delete val="0"/>
        <c:axPos val="l"/>
        <c:majorGridlines/>
        <c:numFmt formatCode="0%" sourceLinked="0"/>
        <c:majorTickMark val="none"/>
        <c:minorTickMark val="none"/>
        <c:tickLblPos val="nextTo"/>
        <c:crossAx val="146409344"/>
        <c:crosses val="autoZero"/>
        <c:crossBetween val="between"/>
        <c:majorUnit val="0.25"/>
      </c:valAx>
      <c:valAx>
        <c:axId val="146420864"/>
        <c:scaling>
          <c:orientation val="minMax"/>
          <c:min val="0"/>
        </c:scaling>
        <c:delete val="0"/>
        <c:axPos val="r"/>
        <c:numFmt formatCode="&quot;$&quot;#,##0" sourceLinked="0"/>
        <c:majorTickMark val="out"/>
        <c:minorTickMark val="none"/>
        <c:tickLblPos val="nextTo"/>
        <c:crossAx val="146422400"/>
        <c:crosses val="max"/>
        <c:crossBetween val="between"/>
        <c:majorUnit val="5000"/>
      </c:valAx>
      <c:catAx>
        <c:axId val="146422400"/>
        <c:scaling>
          <c:orientation val="minMax"/>
        </c:scaling>
        <c:delete val="1"/>
        <c:axPos val="b"/>
        <c:majorTickMark val="out"/>
        <c:minorTickMark val="none"/>
        <c:tickLblPos val="none"/>
        <c:crossAx val="146420864"/>
        <c:crosses val="autoZero"/>
        <c:auto val="1"/>
        <c:lblAlgn val="ctr"/>
        <c:lblOffset val="100"/>
        <c:noMultiLvlLbl val="0"/>
      </c:catAx>
      <c:dTable>
        <c:showHorzBorder val="1"/>
        <c:showVertBorder val="1"/>
        <c:showOutline val="1"/>
        <c:showKeys val="1"/>
      </c:dTable>
    </c:plotArea>
    <c:plotVisOnly val="1"/>
    <c:dispBlanksAs val="gap"/>
    <c:showDLblsOverMax val="0"/>
  </c:chart>
  <c:printSettings>
    <c:headerFooter/>
    <c:pageMargins b="0.75000000000000722" l="0.70000000000000062" r="0.70000000000000062" t="0.75000000000000722"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a:pPr>
            <a:r>
              <a:rPr lang="en-US"/>
              <a:t>Employer Services</a:t>
            </a:r>
          </a:p>
        </c:rich>
      </c:tx>
      <c:overlay val="0"/>
    </c:title>
    <c:autoTitleDeleted val="0"/>
    <c:plotArea>
      <c:layout>
        <c:manualLayout>
          <c:layoutTarget val="inner"/>
          <c:xMode val="edge"/>
          <c:yMode val="edge"/>
          <c:x val="0.1116752599927559"/>
          <c:y val="0.25120719578635975"/>
          <c:w val="0.62289599998446465"/>
          <c:h val="0.59506376299782837"/>
        </c:manualLayout>
      </c:layout>
      <c:barChart>
        <c:barDir val="col"/>
        <c:grouping val="clustered"/>
        <c:varyColors val="0"/>
        <c:ser>
          <c:idx val="0"/>
          <c:order val="0"/>
          <c:tx>
            <c:v>1 Year Ago</c:v>
          </c:tx>
          <c:spPr>
            <a:solidFill>
              <a:schemeClr val="lt1"/>
            </a:solidFill>
            <a:ln w="38100" cap="flat" cmpd="sng" algn="ctr">
              <a:solidFill>
                <a:schemeClr val="accent1"/>
              </a:solidFill>
              <a:prstDash val="solid"/>
            </a:ln>
            <a:effectLst/>
          </c:spPr>
          <c:invertIfNegative val="0"/>
          <c:dLbls>
            <c:delete val="1"/>
          </c:dLbls>
          <c:cat>
            <c:strRef>
              <c:f>'Area Data'!$B$25:$B$26</c:f>
              <c:strCache>
                <c:ptCount val="2"/>
                <c:pt idx="0">
                  <c:v>WA Job Openings</c:v>
                </c:pt>
                <c:pt idx="1">
                  <c:v>Employers Served</c:v>
                </c:pt>
              </c:strCache>
            </c:strRef>
          </c:cat>
          <c:val>
            <c:numRef>
              <c:f>'Area Data'!$D$25:$D$26</c:f>
              <c:numCache>
                <c:formatCode>#,##0</c:formatCode>
                <c:ptCount val="2"/>
                <c:pt idx="0">
                  <c:v>797</c:v>
                </c:pt>
                <c:pt idx="1">
                  <c:v>720</c:v>
                </c:pt>
              </c:numCache>
            </c:numRef>
          </c:val>
        </c:ser>
        <c:ser>
          <c:idx val="1"/>
          <c:order val="1"/>
          <c:tx>
            <c:v>Current Quarter</c:v>
          </c:tx>
          <c:spPr>
            <a:solidFill>
              <a:schemeClr val="lt1"/>
            </a:solidFill>
            <a:ln w="38100" cap="flat" cmpd="sng" algn="ctr">
              <a:solidFill>
                <a:schemeClr val="accent3"/>
              </a:solidFill>
              <a:prstDash val="solid"/>
            </a:ln>
            <a:effectLst/>
          </c:spPr>
          <c:invertIfNegative val="0"/>
          <c:dLbls>
            <c:txPr>
              <a:bodyPr/>
              <a:lstStyle/>
              <a:p>
                <a:pPr>
                  <a:defRPr sz="1400" b="1"/>
                </a:pPr>
                <a:endParaRPr lang="en-US"/>
              </a:p>
            </c:txPr>
            <c:showLegendKey val="0"/>
            <c:showVal val="1"/>
            <c:showCatName val="0"/>
            <c:showSerName val="0"/>
            <c:showPercent val="0"/>
            <c:showBubbleSize val="0"/>
            <c:showLeaderLines val="0"/>
          </c:dLbls>
          <c:cat>
            <c:strRef>
              <c:f>'Area Data'!$B$25:$B$26</c:f>
              <c:strCache>
                <c:ptCount val="2"/>
                <c:pt idx="0">
                  <c:v>WA Job Openings</c:v>
                </c:pt>
                <c:pt idx="1">
                  <c:v>Employers Served</c:v>
                </c:pt>
              </c:strCache>
            </c:strRef>
          </c:cat>
          <c:val>
            <c:numRef>
              <c:f>'Area Data'!$C$25:$C$26</c:f>
              <c:numCache>
                <c:formatCode>#,##0</c:formatCode>
                <c:ptCount val="2"/>
                <c:pt idx="0">
                  <c:v>764</c:v>
                </c:pt>
                <c:pt idx="1">
                  <c:v>570</c:v>
                </c:pt>
              </c:numCache>
            </c:numRef>
          </c:val>
        </c:ser>
        <c:dLbls>
          <c:showLegendKey val="0"/>
          <c:showVal val="1"/>
          <c:showCatName val="0"/>
          <c:showSerName val="0"/>
          <c:showPercent val="0"/>
          <c:showBubbleSize val="0"/>
        </c:dLbls>
        <c:gapWidth val="150"/>
        <c:axId val="140641024"/>
        <c:axId val="140642560"/>
      </c:barChart>
      <c:catAx>
        <c:axId val="140641024"/>
        <c:scaling>
          <c:orientation val="minMax"/>
        </c:scaling>
        <c:delete val="0"/>
        <c:axPos val="b"/>
        <c:majorGridlines/>
        <c:numFmt formatCode="General" sourceLinked="1"/>
        <c:majorTickMark val="out"/>
        <c:minorTickMark val="none"/>
        <c:tickLblPos val="nextTo"/>
        <c:txPr>
          <a:bodyPr/>
          <a:lstStyle/>
          <a:p>
            <a:pPr>
              <a:defRPr b="1"/>
            </a:pPr>
            <a:endParaRPr lang="en-US"/>
          </a:p>
        </c:txPr>
        <c:crossAx val="140642560"/>
        <c:crosses val="autoZero"/>
        <c:auto val="1"/>
        <c:lblAlgn val="ctr"/>
        <c:lblOffset val="100"/>
        <c:noMultiLvlLbl val="0"/>
      </c:catAx>
      <c:valAx>
        <c:axId val="140642560"/>
        <c:scaling>
          <c:orientation val="minMax"/>
        </c:scaling>
        <c:delete val="0"/>
        <c:axPos val="l"/>
        <c:majorGridlines/>
        <c:numFmt formatCode="#,##0" sourceLinked="1"/>
        <c:majorTickMark val="out"/>
        <c:minorTickMark val="none"/>
        <c:tickLblPos val="nextTo"/>
        <c:txPr>
          <a:bodyPr/>
          <a:lstStyle/>
          <a:p>
            <a:pPr>
              <a:defRPr b="0"/>
            </a:pPr>
            <a:endParaRPr lang="en-US"/>
          </a:p>
        </c:txPr>
        <c:crossAx val="140641024"/>
        <c:crosses val="autoZero"/>
        <c:crossBetween val="between"/>
      </c:valAx>
    </c:plotArea>
    <c:legend>
      <c:legendPos val="t"/>
      <c:overlay val="0"/>
      <c:txPr>
        <a:bodyPr/>
        <a:lstStyle/>
        <a:p>
          <a:pPr>
            <a:defRPr sz="1300"/>
          </a:pPr>
          <a:endParaRPr lang="en-US"/>
        </a:p>
      </c:txPr>
    </c:legend>
    <c:plotVisOnly val="1"/>
    <c:dispBlanksAs val="gap"/>
    <c:showDLblsOverMax val="0"/>
  </c:chart>
  <c:printSettings>
    <c:headerFooter/>
    <c:pageMargins b="0.7500000000000091" l="0.70000000000000062" r="0.70000000000000062" t="0.750000000000009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a:pPr>
            <a:r>
              <a:rPr lang="en-US"/>
              <a:t>Job Orders</a:t>
            </a:r>
          </a:p>
        </c:rich>
      </c:tx>
      <c:overlay val="0"/>
    </c:title>
    <c:autoTitleDeleted val="0"/>
    <c:plotArea>
      <c:layout>
        <c:manualLayout>
          <c:layoutTarget val="inner"/>
          <c:xMode val="edge"/>
          <c:yMode val="edge"/>
          <c:x val="0.45612107658140366"/>
          <c:y val="0.5567038908041777"/>
          <c:w val="0.46822811349764798"/>
          <c:h val="0.33377423632777165"/>
        </c:manualLayout>
      </c:layout>
      <c:barChart>
        <c:barDir val="bar"/>
        <c:grouping val="clustered"/>
        <c:varyColors val="0"/>
        <c:ser>
          <c:idx val="1"/>
          <c:order val="0"/>
          <c:tx>
            <c:strRef>
              <c:f>'Area Data'!$C$27</c:f>
              <c:strCache>
                <c:ptCount val="1"/>
                <c:pt idx="0">
                  <c:v>Currrent Qtr</c:v>
                </c:pt>
              </c:strCache>
            </c:strRef>
          </c:tx>
          <c:spPr>
            <a:solidFill>
              <a:schemeClr val="lt1"/>
            </a:solidFill>
            <a:ln w="25400" cap="flat" cmpd="sng" algn="ctr">
              <a:solidFill>
                <a:schemeClr val="accent3"/>
              </a:solidFill>
              <a:prstDash val="solid"/>
            </a:ln>
            <a:effectLst/>
          </c:spPr>
          <c:invertIfNegative val="0"/>
          <c:dLbls>
            <c:txPr>
              <a:bodyPr/>
              <a:lstStyle/>
              <a:p>
                <a:pPr>
                  <a:defRPr sz="1100" b="1"/>
                </a:pPr>
                <a:endParaRPr lang="en-US"/>
              </a:p>
            </c:txPr>
            <c:showLegendKey val="0"/>
            <c:showVal val="1"/>
            <c:showCatName val="0"/>
            <c:showSerName val="0"/>
            <c:showPercent val="0"/>
            <c:showBubbleSize val="0"/>
            <c:showLeaderLines val="0"/>
          </c:dLbls>
          <c:cat>
            <c:strRef>
              <c:f>'Area Data'!$B$28:$B$29</c:f>
              <c:strCache>
                <c:ptCount val="2"/>
                <c:pt idx="0">
                  <c:v>% of Job Openings in Top 5 Desired Occupations</c:v>
                </c:pt>
                <c:pt idx="1">
                  <c:v>Job Order Fill Rate</c:v>
                </c:pt>
              </c:strCache>
            </c:strRef>
          </c:cat>
          <c:val>
            <c:numRef>
              <c:f>'Area Data'!$C$28:$C$29</c:f>
              <c:numCache>
                <c:formatCode>0%</c:formatCode>
                <c:ptCount val="2"/>
                <c:pt idx="0">
                  <c:v>0.58900523560209428</c:v>
                </c:pt>
                <c:pt idx="1">
                  <c:v>0.59816753926701571</c:v>
                </c:pt>
              </c:numCache>
            </c:numRef>
          </c:val>
        </c:ser>
        <c:ser>
          <c:idx val="0"/>
          <c:order val="1"/>
          <c:tx>
            <c:strRef>
              <c:f>'Area Data'!$D$27</c:f>
              <c:strCache>
                <c:ptCount val="1"/>
                <c:pt idx="0">
                  <c:v>Last Year</c:v>
                </c:pt>
              </c:strCache>
            </c:strRef>
          </c:tx>
          <c:spPr>
            <a:solidFill>
              <a:schemeClr val="lt1"/>
            </a:solidFill>
            <a:ln w="38100" cap="flat" cmpd="sng" algn="ctr">
              <a:solidFill>
                <a:schemeClr val="accent1"/>
              </a:solidFill>
              <a:prstDash val="solid"/>
            </a:ln>
            <a:effectLst/>
          </c:spPr>
          <c:invertIfNegative val="0"/>
          <c:dLbls>
            <c:delete val="1"/>
          </c:dLbls>
          <c:cat>
            <c:strRef>
              <c:f>'Area Data'!$B$28:$B$29</c:f>
              <c:strCache>
                <c:ptCount val="2"/>
                <c:pt idx="0">
                  <c:v>% of Job Openings in Top 5 Desired Occupations</c:v>
                </c:pt>
                <c:pt idx="1">
                  <c:v>Job Order Fill Rate</c:v>
                </c:pt>
              </c:strCache>
            </c:strRef>
          </c:cat>
          <c:val>
            <c:numRef>
              <c:f>'Area Data'!$D$28:$D$29</c:f>
              <c:numCache>
                <c:formatCode>0%</c:formatCode>
                <c:ptCount val="2"/>
                <c:pt idx="0">
                  <c:v>0.42910915934755334</c:v>
                </c:pt>
                <c:pt idx="1">
                  <c:v>0.2697616060225847</c:v>
                </c:pt>
              </c:numCache>
            </c:numRef>
          </c:val>
        </c:ser>
        <c:dLbls>
          <c:showLegendKey val="0"/>
          <c:showVal val="1"/>
          <c:showCatName val="0"/>
          <c:showSerName val="0"/>
          <c:showPercent val="0"/>
          <c:showBubbleSize val="0"/>
        </c:dLbls>
        <c:gapWidth val="150"/>
        <c:axId val="140651904"/>
        <c:axId val="140670080"/>
      </c:barChart>
      <c:catAx>
        <c:axId val="140651904"/>
        <c:scaling>
          <c:orientation val="minMax"/>
        </c:scaling>
        <c:delete val="0"/>
        <c:axPos val="l"/>
        <c:majorTickMark val="out"/>
        <c:minorTickMark val="none"/>
        <c:tickLblPos val="nextTo"/>
        <c:txPr>
          <a:bodyPr/>
          <a:lstStyle/>
          <a:p>
            <a:pPr>
              <a:defRPr sz="1100" b="1"/>
            </a:pPr>
            <a:endParaRPr lang="en-US"/>
          </a:p>
        </c:txPr>
        <c:crossAx val="140670080"/>
        <c:crosses val="autoZero"/>
        <c:auto val="1"/>
        <c:lblAlgn val="ctr"/>
        <c:lblOffset val="100"/>
        <c:noMultiLvlLbl val="0"/>
      </c:catAx>
      <c:valAx>
        <c:axId val="140670080"/>
        <c:scaling>
          <c:orientation val="minMax"/>
        </c:scaling>
        <c:delete val="0"/>
        <c:axPos val="b"/>
        <c:majorGridlines/>
        <c:numFmt formatCode="0%" sourceLinked="1"/>
        <c:majorTickMark val="out"/>
        <c:minorTickMark val="none"/>
        <c:tickLblPos val="nextTo"/>
        <c:crossAx val="140651904"/>
        <c:crosses val="autoZero"/>
        <c:crossBetween val="between"/>
        <c:majorUnit val="0.25"/>
      </c:valAx>
    </c:plotArea>
    <c:legend>
      <c:legendPos val="t"/>
      <c:overlay val="0"/>
      <c:txPr>
        <a:bodyPr/>
        <a:lstStyle/>
        <a:p>
          <a:pPr>
            <a:defRPr sz="1300"/>
          </a:pPr>
          <a:endParaRPr lang="en-US"/>
        </a:p>
      </c:txPr>
    </c:legend>
    <c:plotVisOnly val="1"/>
    <c:dispBlanksAs val="gap"/>
    <c:showDLblsOverMax val="0"/>
  </c:chart>
  <c:printSettings>
    <c:headerFooter/>
    <c:pageMargins b="0.75000000000000933" l="0.70000000000000062" r="0.70000000000000062" t="0.75000000000000933" header="0.30000000000000032" footer="0.30000000000000032"/>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manualLayout>
          <c:layoutTarget val="inner"/>
          <c:xMode val="edge"/>
          <c:yMode val="edge"/>
          <c:x val="0.46497693705446741"/>
          <c:y val="0.13814755677210094"/>
          <c:w val="0.45639379397101987"/>
          <c:h val="0.58543139826642177"/>
        </c:manualLayout>
      </c:layout>
      <c:barChart>
        <c:barDir val="bar"/>
        <c:grouping val="clustered"/>
        <c:varyColors val="0"/>
        <c:ser>
          <c:idx val="1"/>
          <c:order val="0"/>
          <c:tx>
            <c:strRef>
              <c:f>'Area Data'!$C$27</c:f>
              <c:strCache>
                <c:ptCount val="1"/>
                <c:pt idx="0">
                  <c:v>Currrent Qtr</c:v>
                </c:pt>
              </c:strCache>
            </c:strRef>
          </c:tx>
          <c:spPr>
            <a:solidFill>
              <a:schemeClr val="lt1"/>
            </a:solidFill>
            <a:ln w="25400" cap="flat" cmpd="sng" algn="ctr">
              <a:solidFill>
                <a:schemeClr val="accent3"/>
              </a:solidFill>
              <a:prstDash val="solid"/>
            </a:ln>
            <a:effectLst/>
          </c:spPr>
          <c:invertIfNegative val="0"/>
          <c:dLbls>
            <c:dLbl>
              <c:idx val="0"/>
              <c:spPr>
                <a:solidFill>
                  <a:schemeClr val="lt1"/>
                </a:solidFill>
                <a:ln w="25400" cap="flat" cmpd="sng" algn="ctr">
                  <a:noFill/>
                  <a:prstDash val="solid"/>
                </a:ln>
                <a:effectLst/>
              </c:spPr>
              <c:txPr>
                <a:bodyPr/>
                <a:lstStyle/>
                <a:p>
                  <a:pPr>
                    <a:defRPr b="1">
                      <a:solidFill>
                        <a:schemeClr val="dk1"/>
                      </a:solidFill>
                      <a:latin typeface="+mn-lt"/>
                      <a:ea typeface="+mn-ea"/>
                      <a:cs typeface="+mn-cs"/>
                    </a:defRPr>
                  </a:pPr>
                  <a:endParaRPr lang="en-US"/>
                </a:p>
              </c:txPr>
              <c:showLegendKey val="0"/>
              <c:showVal val="1"/>
              <c:showCatName val="0"/>
              <c:showSerName val="0"/>
              <c:showPercent val="0"/>
              <c:showBubbleSize val="0"/>
            </c:dLbl>
            <c:spPr>
              <a:ln>
                <a:noFill/>
              </a:ln>
            </c:spPr>
            <c:txPr>
              <a:bodyPr/>
              <a:lstStyle/>
              <a:p>
                <a:pPr>
                  <a:defRPr sz="1100" b="1"/>
                </a:pPr>
                <a:endParaRPr lang="en-US"/>
              </a:p>
            </c:txPr>
            <c:showLegendKey val="0"/>
            <c:showVal val="1"/>
            <c:showCatName val="0"/>
            <c:showSerName val="0"/>
            <c:showPercent val="0"/>
            <c:showBubbleSize val="0"/>
            <c:showLeaderLines val="0"/>
          </c:dLbls>
          <c:cat>
            <c:strRef>
              <c:f>'Area Data'!$B$30</c:f>
              <c:strCache>
                <c:ptCount val="1"/>
                <c:pt idx="0">
                  <c:v>Average Job Order Wage</c:v>
                </c:pt>
              </c:strCache>
            </c:strRef>
          </c:cat>
          <c:val>
            <c:numRef>
              <c:f>'Area Data'!$C$30</c:f>
              <c:numCache>
                <c:formatCode>"$"#,##0.00</c:formatCode>
                <c:ptCount val="1"/>
                <c:pt idx="0">
                  <c:v>11.907478706087232</c:v>
                </c:pt>
              </c:numCache>
            </c:numRef>
          </c:val>
        </c:ser>
        <c:ser>
          <c:idx val="0"/>
          <c:order val="1"/>
          <c:tx>
            <c:strRef>
              <c:f>'Area Data'!$D$27</c:f>
              <c:strCache>
                <c:ptCount val="1"/>
                <c:pt idx="0">
                  <c:v>Last Year</c:v>
                </c:pt>
              </c:strCache>
            </c:strRef>
          </c:tx>
          <c:spPr>
            <a:solidFill>
              <a:schemeClr val="lt1"/>
            </a:solidFill>
            <a:ln w="38100" cap="flat" cmpd="sng" algn="ctr">
              <a:solidFill>
                <a:schemeClr val="accent1"/>
              </a:solidFill>
              <a:prstDash val="solid"/>
            </a:ln>
            <a:effectLst/>
          </c:spPr>
          <c:invertIfNegative val="0"/>
          <c:cat>
            <c:strRef>
              <c:f>'Area Data'!$B$30</c:f>
              <c:strCache>
                <c:ptCount val="1"/>
                <c:pt idx="0">
                  <c:v>Average Job Order Wage</c:v>
                </c:pt>
              </c:strCache>
            </c:strRef>
          </c:cat>
          <c:val>
            <c:numRef>
              <c:f>'Area Data'!$D$30</c:f>
              <c:numCache>
                <c:formatCode>"$"#,##0.00</c:formatCode>
                <c:ptCount val="1"/>
                <c:pt idx="0">
                  <c:v>12.766785187439131</c:v>
                </c:pt>
              </c:numCache>
            </c:numRef>
          </c:val>
        </c:ser>
        <c:dLbls>
          <c:showLegendKey val="0"/>
          <c:showVal val="1"/>
          <c:showCatName val="0"/>
          <c:showSerName val="0"/>
          <c:showPercent val="0"/>
          <c:showBubbleSize val="0"/>
        </c:dLbls>
        <c:gapWidth val="110"/>
        <c:overlap val="-40"/>
        <c:axId val="140736000"/>
        <c:axId val="140737536"/>
      </c:barChart>
      <c:catAx>
        <c:axId val="140736000"/>
        <c:scaling>
          <c:orientation val="minMax"/>
        </c:scaling>
        <c:delete val="0"/>
        <c:axPos val="l"/>
        <c:majorTickMark val="out"/>
        <c:minorTickMark val="none"/>
        <c:tickLblPos val="nextTo"/>
        <c:txPr>
          <a:bodyPr/>
          <a:lstStyle/>
          <a:p>
            <a:pPr>
              <a:defRPr sz="1100" b="1"/>
            </a:pPr>
            <a:endParaRPr lang="en-US"/>
          </a:p>
        </c:txPr>
        <c:crossAx val="140737536"/>
        <c:crosses val="autoZero"/>
        <c:auto val="1"/>
        <c:lblAlgn val="ctr"/>
        <c:lblOffset val="100"/>
        <c:noMultiLvlLbl val="0"/>
      </c:catAx>
      <c:valAx>
        <c:axId val="140737536"/>
        <c:scaling>
          <c:orientation val="minMax"/>
          <c:min val="0"/>
        </c:scaling>
        <c:delete val="0"/>
        <c:axPos val="b"/>
        <c:majorGridlines/>
        <c:numFmt formatCode="&quot;$&quot;#,##0" sourceLinked="0"/>
        <c:majorTickMark val="out"/>
        <c:minorTickMark val="none"/>
        <c:tickLblPos val="nextTo"/>
        <c:crossAx val="140736000"/>
        <c:crosses val="autoZero"/>
        <c:crossBetween val="between"/>
      </c:valAx>
    </c:plotArea>
    <c:plotVisOnly val="1"/>
    <c:dispBlanksAs val="gap"/>
    <c:showDLblsOverMax val="0"/>
  </c:chart>
  <c:spPr>
    <a:ln>
      <a:noFill/>
    </a:ln>
  </c:spPr>
  <c:printSettings>
    <c:headerFooter/>
    <c:pageMargins b="0.75000000000000933" l="0.70000000000000062" r="0.70000000000000062" t="0.75000000000000933" header="0.30000000000000032" footer="0.30000000000000032"/>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lrMapOvr bg1="lt1" tx1="dk1" bg2="lt2" tx2="dk2" accent1="accent1" accent2="accent2" accent3="accent3" accent4="accent4" accent5="accent5" accent6="accent6" hlink="hlink" folHlink="folHlink"/>
  <c:chart>
    <c:title>
      <c:tx>
        <c:rich>
          <a:bodyPr/>
          <a:lstStyle/>
          <a:p>
            <a:pPr>
              <a:defRPr/>
            </a:pPr>
            <a:r>
              <a:rPr lang="en-US"/>
              <a:t>Customer Demographic Comparison</a:t>
            </a:r>
          </a:p>
        </c:rich>
      </c:tx>
      <c:overlay val="1"/>
    </c:title>
    <c:autoTitleDeleted val="0"/>
    <c:plotArea>
      <c:layout>
        <c:manualLayout>
          <c:layoutTarget val="inner"/>
          <c:xMode val="edge"/>
          <c:yMode val="edge"/>
          <c:x val="0.10276723222097323"/>
          <c:y val="0.14773112975164809"/>
          <c:w val="0.85479451787276595"/>
          <c:h val="0.52168630678457362"/>
        </c:manualLayout>
      </c:layout>
      <c:barChart>
        <c:barDir val="col"/>
        <c:grouping val="clustered"/>
        <c:varyColors val="0"/>
        <c:ser>
          <c:idx val="0"/>
          <c:order val="0"/>
          <c:tx>
            <c:strRef>
              <c:f>'Area Data'!$G$25</c:f>
              <c:strCache>
                <c:ptCount val="1"/>
                <c:pt idx="0">
                  <c:v>% of Population</c:v>
                </c:pt>
              </c:strCache>
            </c:strRef>
          </c:tx>
          <c:invertIfNegative val="0"/>
          <c:dLbls>
            <c:dLbl>
              <c:idx val="4"/>
              <c:delete val="1"/>
            </c:dLbl>
            <c:txPr>
              <a:bodyPr/>
              <a:lstStyle/>
              <a:p>
                <a:pPr>
                  <a:defRPr sz="1400"/>
                </a:pPr>
                <a:endParaRPr lang="en-US"/>
              </a:p>
            </c:txPr>
            <c:showLegendKey val="0"/>
            <c:showVal val="1"/>
            <c:showCatName val="0"/>
            <c:showSerName val="0"/>
            <c:showPercent val="0"/>
            <c:showBubbleSize val="0"/>
            <c:showLeaderLines val="0"/>
          </c:dLbls>
          <c:cat>
            <c:strRef>
              <c:f>'Area Data'!$F$27:$F$31</c:f>
              <c:strCache>
                <c:ptCount val="5"/>
                <c:pt idx="0">
                  <c:v>Male</c:v>
                </c:pt>
                <c:pt idx="1">
                  <c:v>Female</c:v>
                </c:pt>
                <c:pt idx="2">
                  <c:v>Protected Class</c:v>
                </c:pt>
                <c:pt idx="3">
                  <c:v>Over 55</c:v>
                </c:pt>
                <c:pt idx="4">
                  <c:v>With Disability</c:v>
                </c:pt>
              </c:strCache>
            </c:strRef>
          </c:cat>
          <c:val>
            <c:numRef>
              <c:f>'Area Data'!$G$27:$G$31</c:f>
              <c:numCache>
                <c:formatCode>0%</c:formatCode>
                <c:ptCount val="5"/>
                <c:pt idx="0">
                  <c:v>0.50137007933885269</c:v>
                </c:pt>
                <c:pt idx="1">
                  <c:v>0.49862992066114736</c:v>
                </c:pt>
                <c:pt idx="2">
                  <c:v>0.12900678752218886</c:v>
                </c:pt>
                <c:pt idx="3">
                  <c:v>0.31748700837254462</c:v>
                </c:pt>
                <c:pt idx="4">
                  <c:v>0</c:v>
                </c:pt>
              </c:numCache>
            </c:numRef>
          </c:val>
        </c:ser>
        <c:ser>
          <c:idx val="1"/>
          <c:order val="1"/>
          <c:tx>
            <c:strRef>
              <c:f>'Area Data'!$H$25</c:f>
              <c:strCache>
                <c:ptCount val="1"/>
                <c:pt idx="0">
                  <c:v>% Of Staff Assisted</c:v>
                </c:pt>
              </c:strCache>
            </c:strRef>
          </c:tx>
          <c:invertIfNegative val="0"/>
          <c:dLbls>
            <c:delete val="1"/>
          </c:dLbls>
          <c:cat>
            <c:strRef>
              <c:f>'Area Data'!$F$27:$F$31</c:f>
              <c:strCache>
                <c:ptCount val="5"/>
                <c:pt idx="0">
                  <c:v>Male</c:v>
                </c:pt>
                <c:pt idx="1">
                  <c:v>Female</c:v>
                </c:pt>
                <c:pt idx="2">
                  <c:v>Protected Class</c:v>
                </c:pt>
                <c:pt idx="3">
                  <c:v>Over 55</c:v>
                </c:pt>
                <c:pt idx="4">
                  <c:v>With Disability</c:v>
                </c:pt>
              </c:strCache>
            </c:strRef>
          </c:cat>
          <c:val>
            <c:numRef>
              <c:f>'Area Data'!$H$27:$H$31</c:f>
              <c:numCache>
                <c:formatCode>0%</c:formatCode>
                <c:ptCount val="5"/>
                <c:pt idx="0">
                  <c:v>0.58785860655737709</c:v>
                </c:pt>
                <c:pt idx="1">
                  <c:v>0.41214139344262296</c:v>
                </c:pt>
                <c:pt idx="2">
                  <c:v>0.18276127049180327</c:v>
                </c:pt>
                <c:pt idx="3">
                  <c:v>0.22374487704918034</c:v>
                </c:pt>
                <c:pt idx="4">
                  <c:v>5.3534836065573771E-2</c:v>
                </c:pt>
              </c:numCache>
            </c:numRef>
          </c:val>
        </c:ser>
        <c:ser>
          <c:idx val="2"/>
          <c:order val="2"/>
          <c:tx>
            <c:strRef>
              <c:f>'Area Data'!$I$25</c:f>
              <c:strCache>
                <c:ptCount val="1"/>
                <c:pt idx="0">
                  <c:v>% of WIA Enrolled</c:v>
                </c:pt>
              </c:strCache>
            </c:strRef>
          </c:tx>
          <c:invertIfNegative val="0"/>
          <c:dLbls>
            <c:delete val="1"/>
          </c:dLbls>
          <c:cat>
            <c:strRef>
              <c:f>'Area Data'!$F$27:$F$31</c:f>
              <c:strCache>
                <c:ptCount val="5"/>
                <c:pt idx="0">
                  <c:v>Male</c:v>
                </c:pt>
                <c:pt idx="1">
                  <c:v>Female</c:v>
                </c:pt>
                <c:pt idx="2">
                  <c:v>Protected Class</c:v>
                </c:pt>
                <c:pt idx="3">
                  <c:v>Over 55</c:v>
                </c:pt>
                <c:pt idx="4">
                  <c:v>With Disability</c:v>
                </c:pt>
              </c:strCache>
            </c:strRef>
          </c:cat>
          <c:val>
            <c:numRef>
              <c:f>'Area Data'!$I$27:$I$31</c:f>
              <c:numCache>
                <c:formatCode>0%</c:formatCode>
                <c:ptCount val="5"/>
                <c:pt idx="0">
                  <c:v>0.47227533460803062</c:v>
                </c:pt>
                <c:pt idx="1">
                  <c:v>0.52772466539196938</c:v>
                </c:pt>
                <c:pt idx="2">
                  <c:v>0.20076481835564053</c:v>
                </c:pt>
                <c:pt idx="3">
                  <c:v>0.17304015296367112</c:v>
                </c:pt>
                <c:pt idx="4">
                  <c:v>5.736137667304015E-2</c:v>
                </c:pt>
              </c:numCache>
            </c:numRef>
          </c:val>
        </c:ser>
        <c:dLbls>
          <c:showLegendKey val="0"/>
          <c:showVal val="1"/>
          <c:showCatName val="0"/>
          <c:showSerName val="0"/>
          <c:showPercent val="0"/>
          <c:showBubbleSize val="0"/>
        </c:dLbls>
        <c:gapWidth val="150"/>
        <c:axId val="140912128"/>
        <c:axId val="140913664"/>
      </c:barChart>
      <c:catAx>
        <c:axId val="140912128"/>
        <c:scaling>
          <c:orientation val="minMax"/>
        </c:scaling>
        <c:delete val="0"/>
        <c:axPos val="b"/>
        <c:majorTickMark val="out"/>
        <c:minorTickMark val="none"/>
        <c:tickLblPos val="nextTo"/>
        <c:txPr>
          <a:bodyPr/>
          <a:lstStyle/>
          <a:p>
            <a:pPr>
              <a:defRPr sz="1400"/>
            </a:pPr>
            <a:endParaRPr lang="en-US"/>
          </a:p>
        </c:txPr>
        <c:crossAx val="140913664"/>
        <c:crosses val="autoZero"/>
        <c:auto val="1"/>
        <c:lblAlgn val="ctr"/>
        <c:lblOffset val="100"/>
        <c:noMultiLvlLbl val="0"/>
      </c:catAx>
      <c:valAx>
        <c:axId val="140913664"/>
        <c:scaling>
          <c:orientation val="minMax"/>
        </c:scaling>
        <c:delete val="0"/>
        <c:axPos val="l"/>
        <c:majorGridlines/>
        <c:numFmt formatCode="0%" sourceLinked="1"/>
        <c:majorTickMark val="out"/>
        <c:minorTickMark val="none"/>
        <c:tickLblPos val="nextTo"/>
        <c:txPr>
          <a:bodyPr/>
          <a:lstStyle/>
          <a:p>
            <a:pPr>
              <a:defRPr sz="1600"/>
            </a:pPr>
            <a:endParaRPr lang="en-US"/>
          </a:p>
        </c:txPr>
        <c:crossAx val="140912128"/>
        <c:crosses val="autoZero"/>
        <c:crossBetween val="between"/>
        <c:majorUnit val="0.2"/>
      </c:valAx>
    </c:plotArea>
    <c:legend>
      <c:legendPos val="b"/>
      <c:layout>
        <c:manualLayout>
          <c:xMode val="edge"/>
          <c:yMode val="edge"/>
          <c:x val="1.865157480314962E-2"/>
          <c:y val="0.8088486738594266"/>
          <c:w val="0.94724460679151135"/>
          <c:h val="0.1877611092431424"/>
        </c:manualLayout>
      </c:layout>
      <c:overlay val="0"/>
      <c:txPr>
        <a:bodyPr/>
        <a:lstStyle/>
        <a:p>
          <a:pPr>
            <a:defRPr sz="1400"/>
          </a:pPr>
          <a:endParaRPr lang="en-US"/>
        </a:p>
      </c:txPr>
    </c:legend>
    <c:plotVisOnly val="1"/>
    <c:dispBlanksAs val="gap"/>
    <c:showDLblsOverMax val="0"/>
  </c:chart>
  <c:printSettings>
    <c:headerFooter/>
    <c:pageMargins b="0.75000000000000866" l="0.70000000000000062" r="0.70000000000000062" t="0.75000000000000866" header="0.30000000000000032" footer="0.30000000000000032"/>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lrMapOvr bg1="lt1" tx1="dk1" bg2="lt2" tx2="dk2" accent1="accent1" accent2="accent2" accent3="accent3" accent4="accent4" accent5="accent5" accent6="accent6" hlink="hlink" folHlink="folHlink"/>
  <c:chart>
    <c:title>
      <c:tx>
        <c:rich>
          <a:bodyPr/>
          <a:lstStyle/>
          <a:p>
            <a:pPr>
              <a:defRPr/>
            </a:pPr>
            <a:r>
              <a:rPr lang="en-US"/>
              <a:t>Labor Market, Jan 10 - Dec 10</a:t>
            </a:r>
          </a:p>
        </c:rich>
      </c:tx>
      <c:overlay val="0"/>
    </c:title>
    <c:autoTitleDeleted val="0"/>
    <c:plotArea>
      <c:layout>
        <c:manualLayout>
          <c:layoutTarget val="inner"/>
          <c:xMode val="edge"/>
          <c:yMode val="edge"/>
          <c:x val="0.15424642327585344"/>
          <c:y val="0.15513094761459903"/>
          <c:w val="0.74978153356253074"/>
          <c:h val="0.59216462348986043"/>
        </c:manualLayout>
      </c:layout>
      <c:barChart>
        <c:barDir val="col"/>
        <c:grouping val="clustered"/>
        <c:varyColors val="0"/>
        <c:ser>
          <c:idx val="1"/>
          <c:order val="1"/>
          <c:tx>
            <c:v>Employed</c:v>
          </c:tx>
          <c:invertIfNegative val="0"/>
          <c:val>
            <c:numRef>
              <c:f>'Area Data'!$G$21:$J$21</c:f>
              <c:numCache>
                <c:formatCode>#,##0</c:formatCode>
                <c:ptCount val="4"/>
                <c:pt idx="0">
                  <c:v>152957</c:v>
                </c:pt>
                <c:pt idx="1">
                  <c:v>154503</c:v>
                </c:pt>
                <c:pt idx="2">
                  <c:v>153883</c:v>
                </c:pt>
                <c:pt idx="3">
                  <c:v>154707</c:v>
                </c:pt>
              </c:numCache>
            </c:numRef>
          </c:val>
        </c:ser>
        <c:ser>
          <c:idx val="0"/>
          <c:order val="2"/>
          <c:tx>
            <c:v>Labor Force</c:v>
          </c:tx>
          <c:invertIfNegative val="0"/>
          <c:dLbls>
            <c:spPr>
              <a:solidFill>
                <a:schemeClr val="lt1"/>
              </a:solidFill>
              <a:ln w="25400" cap="flat" cmpd="sng" algn="ctr">
                <a:solidFill>
                  <a:schemeClr val="accent1"/>
                </a:solidFill>
                <a:prstDash val="solid"/>
              </a:ln>
              <a:effectLst/>
            </c:spPr>
            <c:txPr>
              <a:bodyPr/>
              <a:lstStyle/>
              <a:p>
                <a:pPr>
                  <a:defRPr sz="1000">
                    <a:solidFill>
                      <a:schemeClr val="dk1"/>
                    </a:solidFill>
                    <a:latin typeface="+mn-lt"/>
                    <a:ea typeface="+mn-ea"/>
                    <a:cs typeface="+mn-cs"/>
                  </a:defRPr>
                </a:pPr>
                <a:endParaRPr lang="en-US"/>
              </a:p>
            </c:txPr>
            <c:dLblPos val="outEnd"/>
            <c:showLegendKey val="0"/>
            <c:showVal val="1"/>
            <c:showCatName val="0"/>
            <c:showSerName val="0"/>
            <c:showPercent val="0"/>
            <c:showBubbleSize val="0"/>
            <c:showLeaderLines val="0"/>
          </c:dLbls>
          <c:val>
            <c:numRef>
              <c:f>'Area Data'!$G$23:$J$23</c:f>
              <c:numCache>
                <c:formatCode>#,##0</c:formatCode>
                <c:ptCount val="4"/>
                <c:pt idx="0">
                  <c:v>169233</c:v>
                </c:pt>
                <c:pt idx="1">
                  <c:v>168543</c:v>
                </c:pt>
                <c:pt idx="2">
                  <c:v>167310</c:v>
                </c:pt>
                <c:pt idx="3">
                  <c:v>167893</c:v>
                </c:pt>
              </c:numCache>
            </c:numRef>
          </c:val>
        </c:ser>
        <c:dLbls>
          <c:showLegendKey val="0"/>
          <c:showVal val="0"/>
          <c:showCatName val="0"/>
          <c:showSerName val="0"/>
          <c:showPercent val="0"/>
          <c:showBubbleSize val="0"/>
        </c:dLbls>
        <c:gapWidth val="150"/>
        <c:axId val="140983680"/>
        <c:axId val="140982144"/>
      </c:barChart>
      <c:lineChart>
        <c:grouping val="standard"/>
        <c:varyColors val="0"/>
        <c:ser>
          <c:idx val="10"/>
          <c:order val="0"/>
          <c:tx>
            <c:strRef>
              <c:f>'Area Data'!$F$24</c:f>
              <c:strCache>
                <c:ptCount val="1"/>
                <c:pt idx="0">
                  <c:v>Unemployment Rate</c:v>
                </c:pt>
              </c:strCache>
            </c:strRef>
          </c:tx>
          <c:marker>
            <c:symbol val="diamond"/>
            <c:size val="5"/>
            <c:spPr>
              <a:solidFill>
                <a:schemeClr val="accent1"/>
              </a:solidFill>
            </c:spPr>
          </c:marker>
          <c:dLbls>
            <c:txPr>
              <a:bodyPr/>
              <a:lstStyle/>
              <a:p>
                <a:pPr>
                  <a:defRPr sz="1400" b="1"/>
                </a:pPr>
                <a:endParaRPr lang="en-US"/>
              </a:p>
            </c:txPr>
            <c:dLblPos val="l"/>
            <c:showLegendKey val="0"/>
            <c:showVal val="1"/>
            <c:showCatName val="0"/>
            <c:showSerName val="0"/>
            <c:showPercent val="0"/>
            <c:showBubbleSize val="0"/>
            <c:showLeaderLines val="0"/>
          </c:dLbls>
          <c:cat>
            <c:strRef>
              <c:f>'Area Data'!$G$20:$J$20</c:f>
              <c:strCache>
                <c:ptCount val="4"/>
                <c:pt idx="0">
                  <c:v>PY09 Q3</c:v>
                </c:pt>
                <c:pt idx="1">
                  <c:v>PY09 Q4</c:v>
                </c:pt>
                <c:pt idx="2">
                  <c:v>PY10 Q1</c:v>
                </c:pt>
                <c:pt idx="3">
                  <c:v>PY10 Q2</c:v>
                </c:pt>
              </c:strCache>
            </c:strRef>
          </c:cat>
          <c:val>
            <c:numRef>
              <c:f>'Area Data'!$G$24:$J$24</c:f>
              <c:numCache>
                <c:formatCode>0.0%</c:formatCode>
                <c:ptCount val="4"/>
                <c:pt idx="0">
                  <c:v>9.6181004886753768E-2</c:v>
                </c:pt>
                <c:pt idx="1">
                  <c:v>8.3302184012388536E-2</c:v>
                </c:pt>
                <c:pt idx="2">
                  <c:v>8.025222640607256E-2</c:v>
                </c:pt>
                <c:pt idx="3">
                  <c:v>7.8544072712977905E-2</c:v>
                </c:pt>
              </c:numCache>
            </c:numRef>
          </c:val>
          <c:smooth val="0"/>
        </c:ser>
        <c:dLbls>
          <c:showLegendKey val="0"/>
          <c:showVal val="0"/>
          <c:showCatName val="0"/>
          <c:showSerName val="0"/>
          <c:showPercent val="0"/>
          <c:showBubbleSize val="0"/>
        </c:dLbls>
        <c:marker val="1"/>
        <c:smooth val="0"/>
        <c:axId val="140978816"/>
        <c:axId val="140980608"/>
      </c:lineChart>
      <c:catAx>
        <c:axId val="140978816"/>
        <c:scaling>
          <c:orientation val="minMax"/>
        </c:scaling>
        <c:delete val="0"/>
        <c:axPos val="b"/>
        <c:numFmt formatCode="0.00%" sourceLinked="1"/>
        <c:majorTickMark val="out"/>
        <c:minorTickMark val="none"/>
        <c:tickLblPos val="nextTo"/>
        <c:txPr>
          <a:bodyPr/>
          <a:lstStyle/>
          <a:p>
            <a:pPr>
              <a:defRPr sz="1400"/>
            </a:pPr>
            <a:endParaRPr lang="en-US"/>
          </a:p>
        </c:txPr>
        <c:crossAx val="140980608"/>
        <c:crosses val="autoZero"/>
        <c:auto val="1"/>
        <c:lblAlgn val="ctr"/>
        <c:lblOffset val="100"/>
        <c:noMultiLvlLbl val="0"/>
      </c:catAx>
      <c:valAx>
        <c:axId val="140980608"/>
        <c:scaling>
          <c:orientation val="minMax"/>
          <c:min val="0"/>
        </c:scaling>
        <c:delete val="0"/>
        <c:axPos val="l"/>
        <c:majorGridlines/>
        <c:numFmt formatCode="0%" sourceLinked="0"/>
        <c:majorTickMark val="out"/>
        <c:minorTickMark val="none"/>
        <c:tickLblPos val="nextTo"/>
        <c:txPr>
          <a:bodyPr/>
          <a:lstStyle/>
          <a:p>
            <a:pPr>
              <a:defRPr sz="1400"/>
            </a:pPr>
            <a:endParaRPr lang="en-US"/>
          </a:p>
        </c:txPr>
        <c:crossAx val="140978816"/>
        <c:crosses val="autoZero"/>
        <c:crossBetween val="between"/>
      </c:valAx>
      <c:valAx>
        <c:axId val="140982144"/>
        <c:scaling>
          <c:orientation val="minMax"/>
          <c:min val="0"/>
        </c:scaling>
        <c:delete val="0"/>
        <c:axPos val="r"/>
        <c:numFmt formatCode="#,##0" sourceLinked="1"/>
        <c:majorTickMark val="out"/>
        <c:minorTickMark val="none"/>
        <c:tickLblPos val="nextTo"/>
        <c:txPr>
          <a:bodyPr/>
          <a:lstStyle/>
          <a:p>
            <a:pPr>
              <a:defRPr sz="1200"/>
            </a:pPr>
            <a:endParaRPr lang="en-US"/>
          </a:p>
        </c:txPr>
        <c:crossAx val="140983680"/>
        <c:crosses val="max"/>
        <c:crossBetween val="between"/>
      </c:valAx>
      <c:catAx>
        <c:axId val="140983680"/>
        <c:scaling>
          <c:orientation val="minMax"/>
        </c:scaling>
        <c:delete val="1"/>
        <c:axPos val="b"/>
        <c:majorTickMark val="out"/>
        <c:minorTickMark val="none"/>
        <c:tickLblPos val="none"/>
        <c:crossAx val="140982144"/>
        <c:crosses val="autoZero"/>
        <c:auto val="1"/>
        <c:lblAlgn val="ctr"/>
        <c:lblOffset val="100"/>
        <c:noMultiLvlLbl val="0"/>
      </c:catAx>
    </c:plotArea>
    <c:legend>
      <c:legendPos val="b"/>
      <c:layout>
        <c:manualLayout>
          <c:xMode val="edge"/>
          <c:yMode val="edge"/>
          <c:x val="2.5308641975308629E-2"/>
          <c:y val="0.8856373535832297"/>
          <c:w val="0.94938271604938285"/>
          <c:h val="8.8472678779230263E-2"/>
        </c:manualLayout>
      </c:layout>
      <c:overlay val="0"/>
      <c:txPr>
        <a:bodyPr/>
        <a:lstStyle/>
        <a:p>
          <a:pPr>
            <a:defRPr sz="1400"/>
          </a:pPr>
          <a:endParaRPr lang="en-US"/>
        </a:p>
      </c:txPr>
    </c:legend>
    <c:plotVisOnly val="1"/>
    <c:dispBlanksAs val="gap"/>
    <c:showDLblsOverMax val="0"/>
  </c:chart>
  <c:spPr>
    <a:ln>
      <a:solidFill>
        <a:sysClr val="windowText" lastClr="000000"/>
      </a:solidFill>
    </a:ln>
  </c:spPr>
  <c:printSettings>
    <c:headerFooter/>
    <c:pageMargins b="0.75000000000000933" l="0.70000000000000095" r="0.70000000000000095" t="0.75000000000000933" header="0.30000000000000032" footer="0.30000000000000032"/>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lrMapOvr bg1="lt1" tx1="dk1" bg2="lt2" tx2="dk2" accent1="accent1" accent2="accent2" accent3="accent3" accent4="accent4" accent5="accent5" accent6="accent6" hlink="hlink" folHlink="folHlink"/>
  <c:chart>
    <c:title>
      <c:tx>
        <c:rich>
          <a:bodyPr/>
          <a:lstStyle/>
          <a:p>
            <a:pPr>
              <a:defRPr sz="2400"/>
            </a:pPr>
            <a:r>
              <a:rPr lang="en-US"/>
              <a:t>All Customers Common Measures</a:t>
            </a:r>
          </a:p>
        </c:rich>
      </c:tx>
      <c:overlay val="0"/>
    </c:title>
    <c:autoTitleDeleted val="0"/>
    <c:plotArea>
      <c:layout>
        <c:manualLayout>
          <c:layoutTarget val="inner"/>
          <c:xMode val="edge"/>
          <c:yMode val="edge"/>
          <c:x val="0.10841219359030888"/>
          <c:y val="0.10722831150408671"/>
          <c:w val="0.7795612601227585"/>
          <c:h val="0.65017222427657972"/>
        </c:manualLayout>
      </c:layout>
      <c:barChart>
        <c:barDir val="col"/>
        <c:grouping val="clustered"/>
        <c:varyColors val="0"/>
        <c:ser>
          <c:idx val="0"/>
          <c:order val="0"/>
          <c:tx>
            <c:strRef>
              <c:f>'Common Measures'!$C$33</c:f>
              <c:strCache>
                <c:ptCount val="1"/>
                <c:pt idx="0">
                  <c:v>Actual</c:v>
                </c:pt>
              </c:strCache>
            </c:strRef>
          </c:tx>
          <c:invertIfNegative val="0"/>
          <c:dLbls>
            <c:spPr>
              <a:solidFill>
                <a:schemeClr val="lt1"/>
              </a:solidFill>
              <a:ln w="25400" cap="flat" cmpd="sng" algn="ctr">
                <a:solidFill>
                  <a:schemeClr val="accent1"/>
                </a:solidFill>
                <a:prstDash val="solid"/>
              </a:ln>
              <a:effectLst/>
            </c:spPr>
            <c:txPr>
              <a:bodyPr/>
              <a:lstStyle/>
              <a:p>
                <a:pPr>
                  <a:defRPr sz="2400">
                    <a:solidFill>
                      <a:schemeClr val="dk1"/>
                    </a:solidFill>
                    <a:latin typeface="+mn-lt"/>
                    <a:ea typeface="+mn-ea"/>
                    <a:cs typeface="+mn-cs"/>
                  </a:defRPr>
                </a:pPr>
                <a:endParaRPr lang="en-US"/>
              </a:p>
            </c:txPr>
            <c:dLblPos val="ctr"/>
            <c:showLegendKey val="0"/>
            <c:showVal val="1"/>
            <c:showCatName val="0"/>
            <c:showSerName val="0"/>
            <c:showPercent val="0"/>
            <c:showBubbleSize val="0"/>
            <c:showLeaderLines val="0"/>
          </c:dLbls>
          <c:cat>
            <c:strRef>
              <c:f>'Common Measures'!$B$34:$B$36</c:f>
              <c:strCache>
                <c:ptCount val="3"/>
                <c:pt idx="0">
                  <c:v>Entered Employment</c:v>
                </c:pt>
                <c:pt idx="1">
                  <c:v>Retention Rate</c:v>
                </c:pt>
                <c:pt idx="2">
                  <c:v>Average Earnings</c:v>
                </c:pt>
              </c:strCache>
            </c:strRef>
          </c:cat>
          <c:val>
            <c:numRef>
              <c:f>'Common Measures'!$C$34:$C$36</c:f>
              <c:numCache>
                <c:formatCode>0.0%</c:formatCode>
                <c:ptCount val="3"/>
                <c:pt idx="0">
                  <c:v>0.5</c:v>
                </c:pt>
                <c:pt idx="1">
                  <c:v>0.78</c:v>
                </c:pt>
              </c:numCache>
            </c:numRef>
          </c:val>
        </c:ser>
        <c:dLbls>
          <c:showLegendKey val="0"/>
          <c:showVal val="0"/>
          <c:showCatName val="0"/>
          <c:showSerName val="0"/>
          <c:showPercent val="0"/>
          <c:showBubbleSize val="0"/>
        </c:dLbls>
        <c:gapWidth val="150"/>
        <c:axId val="141106176"/>
        <c:axId val="141112064"/>
      </c:barChart>
      <c:barChart>
        <c:barDir val="col"/>
        <c:grouping val="clustered"/>
        <c:varyColors val="0"/>
        <c:ser>
          <c:idx val="1"/>
          <c:order val="1"/>
          <c:tx>
            <c:strRef>
              <c:f>'Common Measures'!$D$33</c:f>
              <c:strCache>
                <c:ptCount val="1"/>
                <c:pt idx="0">
                  <c:v>Actual $</c:v>
                </c:pt>
              </c:strCache>
            </c:strRef>
          </c:tx>
          <c:invertIfNegative val="0"/>
          <c:dLbls>
            <c:spPr>
              <a:solidFill>
                <a:schemeClr val="lt1"/>
              </a:solidFill>
              <a:ln w="25400" cap="flat" cmpd="sng" algn="ctr">
                <a:solidFill>
                  <a:schemeClr val="accent2"/>
                </a:solidFill>
                <a:prstDash val="solid"/>
              </a:ln>
              <a:effectLst/>
            </c:spPr>
            <c:txPr>
              <a:bodyPr/>
              <a:lstStyle/>
              <a:p>
                <a:pPr>
                  <a:defRPr sz="2400">
                    <a:solidFill>
                      <a:schemeClr val="dk1"/>
                    </a:solidFill>
                    <a:latin typeface="+mn-lt"/>
                    <a:ea typeface="+mn-ea"/>
                    <a:cs typeface="+mn-cs"/>
                  </a:defRPr>
                </a:pPr>
                <a:endParaRPr lang="en-US"/>
              </a:p>
            </c:txPr>
            <c:dLblPos val="ctr"/>
            <c:showLegendKey val="0"/>
            <c:showVal val="1"/>
            <c:showCatName val="0"/>
            <c:showSerName val="0"/>
            <c:showPercent val="0"/>
            <c:showBubbleSize val="0"/>
            <c:showLeaderLines val="0"/>
          </c:dLbls>
          <c:cat>
            <c:strRef>
              <c:f>'Common Measures'!$B$34:$B$36</c:f>
              <c:strCache>
                <c:ptCount val="3"/>
                <c:pt idx="0">
                  <c:v>Entered Employment</c:v>
                </c:pt>
                <c:pt idx="1">
                  <c:v>Retention Rate</c:v>
                </c:pt>
                <c:pt idx="2">
                  <c:v>Average Earnings</c:v>
                </c:pt>
              </c:strCache>
            </c:strRef>
          </c:cat>
          <c:val>
            <c:numRef>
              <c:f>'Common Measures'!$D$34:$D$36</c:f>
              <c:numCache>
                <c:formatCode>General</c:formatCode>
                <c:ptCount val="3"/>
                <c:pt idx="2" formatCode="&quot;$&quot;#,##0">
                  <c:v>13703</c:v>
                </c:pt>
              </c:numCache>
            </c:numRef>
          </c:val>
        </c:ser>
        <c:dLbls>
          <c:showLegendKey val="0"/>
          <c:showVal val="0"/>
          <c:showCatName val="0"/>
          <c:showSerName val="0"/>
          <c:showPercent val="0"/>
          <c:showBubbleSize val="0"/>
        </c:dLbls>
        <c:gapWidth val="150"/>
        <c:axId val="141135872"/>
        <c:axId val="141113600"/>
      </c:barChart>
      <c:scatterChart>
        <c:scatterStyle val="lineMarker"/>
        <c:varyColors val="0"/>
        <c:ser>
          <c:idx val="2"/>
          <c:order val="2"/>
          <c:tx>
            <c:strRef>
              <c:f>'Common Measures'!$E$33</c:f>
              <c:strCache>
                <c:ptCount val="1"/>
                <c:pt idx="0">
                  <c:v>Target</c:v>
                </c:pt>
              </c:strCache>
            </c:strRef>
          </c:tx>
          <c:spPr>
            <a:ln w="66675">
              <a:noFill/>
            </a:ln>
          </c:spPr>
          <c:marker>
            <c:symbol val="dash"/>
            <c:size val="20"/>
          </c:marker>
          <c:dLbls>
            <c:spPr>
              <a:solidFill>
                <a:schemeClr val="lt1"/>
              </a:solidFill>
              <a:ln w="25400" cap="flat" cmpd="sng" algn="ctr">
                <a:solidFill>
                  <a:schemeClr val="accent3"/>
                </a:solidFill>
                <a:prstDash val="solid"/>
              </a:ln>
              <a:effectLst/>
            </c:spPr>
            <c:txPr>
              <a:bodyPr/>
              <a:lstStyle/>
              <a:p>
                <a:pPr>
                  <a:defRPr sz="1800">
                    <a:solidFill>
                      <a:schemeClr val="dk1"/>
                    </a:solidFill>
                    <a:latin typeface="+mn-lt"/>
                    <a:ea typeface="+mn-ea"/>
                    <a:cs typeface="+mn-cs"/>
                  </a:defRPr>
                </a:pPr>
                <a:endParaRPr lang="en-US"/>
              </a:p>
            </c:txPr>
            <c:dLblPos val="l"/>
            <c:showLegendKey val="0"/>
            <c:showVal val="1"/>
            <c:showCatName val="0"/>
            <c:showSerName val="0"/>
            <c:showPercent val="0"/>
            <c:showBubbleSize val="0"/>
            <c:showLeaderLines val="0"/>
          </c:dLbls>
          <c:xVal>
            <c:strRef>
              <c:f>'Common Measures'!$B$34:$B$36</c:f>
              <c:strCache>
                <c:ptCount val="3"/>
                <c:pt idx="0">
                  <c:v>Entered Employment</c:v>
                </c:pt>
                <c:pt idx="1">
                  <c:v>Retention Rate</c:v>
                </c:pt>
                <c:pt idx="2">
                  <c:v>Average Earnings</c:v>
                </c:pt>
              </c:strCache>
            </c:strRef>
          </c:xVal>
          <c:yVal>
            <c:numRef>
              <c:f>'Common Measures'!$E$34:$E$36</c:f>
              <c:numCache>
                <c:formatCode>0.0%</c:formatCode>
                <c:ptCount val="3"/>
                <c:pt idx="0">
                  <c:v>0.5</c:v>
                </c:pt>
                <c:pt idx="1">
                  <c:v>0.76600000000000001</c:v>
                </c:pt>
              </c:numCache>
            </c:numRef>
          </c:yVal>
          <c:smooth val="0"/>
        </c:ser>
        <c:dLbls>
          <c:showLegendKey val="0"/>
          <c:showVal val="0"/>
          <c:showCatName val="0"/>
          <c:showSerName val="0"/>
          <c:showPercent val="0"/>
          <c:showBubbleSize val="0"/>
        </c:dLbls>
        <c:axId val="141106176"/>
        <c:axId val="141112064"/>
      </c:scatterChart>
      <c:scatterChart>
        <c:scatterStyle val="lineMarker"/>
        <c:varyColors val="0"/>
        <c:ser>
          <c:idx val="3"/>
          <c:order val="3"/>
          <c:tx>
            <c:strRef>
              <c:f>'Common Measures'!$F$33</c:f>
              <c:strCache>
                <c:ptCount val="1"/>
                <c:pt idx="0">
                  <c:v>Target $</c:v>
                </c:pt>
              </c:strCache>
            </c:strRef>
          </c:tx>
          <c:spPr>
            <a:ln w="66675">
              <a:noFill/>
            </a:ln>
          </c:spPr>
          <c:marker>
            <c:symbol val="dash"/>
            <c:size val="20"/>
            <c:spPr>
              <a:solidFill>
                <a:schemeClr val="accent3">
                  <a:lumMod val="75000"/>
                </a:schemeClr>
              </a:solidFill>
            </c:spPr>
          </c:marker>
          <c:dLbls>
            <c:spPr>
              <a:solidFill>
                <a:schemeClr val="lt1"/>
              </a:solidFill>
              <a:ln w="25400" cap="flat" cmpd="sng" algn="ctr">
                <a:solidFill>
                  <a:schemeClr val="accent3"/>
                </a:solidFill>
                <a:prstDash val="solid"/>
              </a:ln>
              <a:effectLst/>
            </c:spPr>
            <c:txPr>
              <a:bodyPr/>
              <a:lstStyle/>
              <a:p>
                <a:pPr>
                  <a:defRPr sz="1800">
                    <a:solidFill>
                      <a:schemeClr val="dk1"/>
                    </a:solidFill>
                    <a:latin typeface="+mn-lt"/>
                    <a:ea typeface="+mn-ea"/>
                    <a:cs typeface="+mn-cs"/>
                  </a:defRPr>
                </a:pPr>
                <a:endParaRPr lang="en-US"/>
              </a:p>
            </c:txPr>
            <c:dLblPos val="l"/>
            <c:showLegendKey val="0"/>
            <c:showVal val="1"/>
            <c:showCatName val="0"/>
            <c:showSerName val="0"/>
            <c:showPercent val="0"/>
            <c:showBubbleSize val="0"/>
            <c:showLeaderLines val="0"/>
          </c:dLbls>
          <c:xVal>
            <c:strRef>
              <c:f>'Common Measures'!$B$34:$B$36</c:f>
              <c:strCache>
                <c:ptCount val="3"/>
                <c:pt idx="0">
                  <c:v>Entered Employment</c:v>
                </c:pt>
                <c:pt idx="1">
                  <c:v>Retention Rate</c:v>
                </c:pt>
                <c:pt idx="2">
                  <c:v>Average Earnings</c:v>
                </c:pt>
              </c:strCache>
            </c:strRef>
          </c:xVal>
          <c:yVal>
            <c:numRef>
              <c:f>'Common Measures'!$F$34:$F$36</c:f>
              <c:numCache>
                <c:formatCode>General</c:formatCode>
                <c:ptCount val="3"/>
                <c:pt idx="2" formatCode="&quot;$&quot;#,##0">
                  <c:v>13500</c:v>
                </c:pt>
              </c:numCache>
            </c:numRef>
          </c:yVal>
          <c:smooth val="0"/>
        </c:ser>
        <c:dLbls>
          <c:showLegendKey val="0"/>
          <c:showVal val="0"/>
          <c:showCatName val="0"/>
          <c:showSerName val="0"/>
          <c:showPercent val="0"/>
          <c:showBubbleSize val="0"/>
        </c:dLbls>
        <c:axId val="141135872"/>
        <c:axId val="141113600"/>
      </c:scatterChart>
      <c:catAx>
        <c:axId val="141106176"/>
        <c:scaling>
          <c:orientation val="minMax"/>
        </c:scaling>
        <c:delete val="0"/>
        <c:axPos val="b"/>
        <c:majorTickMark val="out"/>
        <c:minorTickMark val="none"/>
        <c:tickLblPos val="nextTo"/>
        <c:txPr>
          <a:bodyPr/>
          <a:lstStyle/>
          <a:p>
            <a:pPr>
              <a:defRPr sz="2000"/>
            </a:pPr>
            <a:endParaRPr lang="en-US"/>
          </a:p>
        </c:txPr>
        <c:crossAx val="141112064"/>
        <c:crosses val="autoZero"/>
        <c:auto val="1"/>
        <c:lblAlgn val="ctr"/>
        <c:lblOffset val="100"/>
        <c:noMultiLvlLbl val="0"/>
      </c:catAx>
      <c:valAx>
        <c:axId val="141112064"/>
        <c:scaling>
          <c:orientation val="minMax"/>
          <c:max val="1"/>
        </c:scaling>
        <c:delete val="0"/>
        <c:axPos val="l"/>
        <c:majorGridlines/>
        <c:numFmt formatCode="0%" sourceLinked="0"/>
        <c:majorTickMark val="out"/>
        <c:minorTickMark val="none"/>
        <c:tickLblPos val="nextTo"/>
        <c:txPr>
          <a:bodyPr/>
          <a:lstStyle/>
          <a:p>
            <a:pPr>
              <a:defRPr sz="1600"/>
            </a:pPr>
            <a:endParaRPr lang="en-US"/>
          </a:p>
        </c:txPr>
        <c:crossAx val="141106176"/>
        <c:crosses val="autoZero"/>
        <c:crossBetween val="between"/>
        <c:majorUnit val="0.25"/>
      </c:valAx>
      <c:valAx>
        <c:axId val="141113600"/>
        <c:scaling>
          <c:orientation val="minMax"/>
          <c:min val="0"/>
        </c:scaling>
        <c:delete val="0"/>
        <c:axPos val="r"/>
        <c:numFmt formatCode="&quot;$&quot;#,##0" sourceLinked="0"/>
        <c:majorTickMark val="out"/>
        <c:minorTickMark val="none"/>
        <c:tickLblPos val="nextTo"/>
        <c:txPr>
          <a:bodyPr/>
          <a:lstStyle/>
          <a:p>
            <a:pPr>
              <a:defRPr sz="1600"/>
            </a:pPr>
            <a:endParaRPr lang="en-US"/>
          </a:p>
        </c:txPr>
        <c:crossAx val="141135872"/>
        <c:crosses val="max"/>
        <c:crossBetween val="between"/>
      </c:valAx>
      <c:catAx>
        <c:axId val="141135872"/>
        <c:scaling>
          <c:orientation val="minMax"/>
        </c:scaling>
        <c:delete val="1"/>
        <c:axPos val="b"/>
        <c:majorTickMark val="out"/>
        <c:minorTickMark val="none"/>
        <c:tickLblPos val="none"/>
        <c:crossAx val="141113600"/>
        <c:crosses val="autoZero"/>
        <c:auto val="1"/>
        <c:lblAlgn val="ctr"/>
        <c:lblOffset val="100"/>
        <c:noMultiLvlLbl val="0"/>
      </c:catAx>
    </c:plotArea>
    <c:legend>
      <c:legendPos val="t"/>
      <c:legendEntry>
        <c:idx val="1"/>
        <c:delete val="1"/>
      </c:legendEntry>
      <c:legendEntry>
        <c:idx val="3"/>
        <c:delete val="1"/>
      </c:legendEntry>
      <c:layout>
        <c:manualLayout>
          <c:xMode val="edge"/>
          <c:yMode val="edge"/>
          <c:x val="0.13779641919787547"/>
          <c:y val="0.93485859657939341"/>
          <c:w val="0.71056491667669064"/>
          <c:h val="6.5040061348649064E-2"/>
        </c:manualLayout>
      </c:layout>
      <c:overlay val="0"/>
      <c:txPr>
        <a:bodyPr/>
        <a:lstStyle/>
        <a:p>
          <a:pPr>
            <a:defRPr sz="1800"/>
          </a:pPr>
          <a:endParaRPr lang="en-US"/>
        </a:p>
      </c:txPr>
    </c:legend>
    <c:plotVisOnly val="1"/>
    <c:dispBlanksAs val="gap"/>
    <c:showDLblsOverMax val="0"/>
  </c:chart>
  <c:printSettings>
    <c:headerFooter/>
    <c:pageMargins b="0.75000000000000644" l="0.70000000000000062" r="0.70000000000000062" t="0.75000000000000644" header="0.30000000000000032" footer="0.30000000000000032"/>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01838478893323"/>
          <c:y val="5.7466863443974163E-2"/>
          <c:w val="0.70869218917791488"/>
          <c:h val="0.84063265760749828"/>
        </c:manualLayout>
      </c:layout>
      <c:barChart>
        <c:barDir val="bar"/>
        <c:grouping val="clustered"/>
        <c:varyColors val="0"/>
        <c:ser>
          <c:idx val="1"/>
          <c:order val="0"/>
          <c:spPr>
            <a:gradFill flip="none" rotWithShape="1">
              <a:gsLst>
                <a:gs pos="0">
                  <a:srgbClr val="1F497D">
                    <a:lumMod val="60000"/>
                    <a:lumOff val="40000"/>
                    <a:shade val="30000"/>
                    <a:satMod val="115000"/>
                  </a:srgbClr>
                </a:gs>
                <a:gs pos="50000">
                  <a:srgbClr val="1F497D">
                    <a:lumMod val="60000"/>
                    <a:lumOff val="40000"/>
                    <a:shade val="67500"/>
                    <a:satMod val="115000"/>
                  </a:srgbClr>
                </a:gs>
                <a:gs pos="100000">
                  <a:srgbClr val="1F497D">
                    <a:lumMod val="60000"/>
                    <a:lumOff val="40000"/>
                    <a:shade val="100000"/>
                    <a:satMod val="115000"/>
                  </a:srgbClr>
                </a:gs>
              </a:gsLst>
              <a:lin ang="5400000" scaled="1"/>
              <a:tileRect/>
            </a:gradFill>
            <a:effectLst>
              <a:outerShdw blurRad="50800" dist="38100" dir="2700000" algn="tl" rotWithShape="0">
                <a:prstClr val="black">
                  <a:alpha val="40000"/>
                </a:prstClr>
              </a:outerShdw>
            </a:effectLst>
          </c:spPr>
          <c:invertIfNegative val="0"/>
          <c:dLbls>
            <c:txPr>
              <a:bodyPr/>
              <a:lstStyle/>
              <a:p>
                <a:pPr>
                  <a:defRPr sz="1200"/>
                </a:pPr>
                <a:endParaRPr lang="en-US"/>
              </a:p>
            </c:txPr>
            <c:showLegendKey val="0"/>
            <c:showVal val="1"/>
            <c:showCatName val="0"/>
            <c:showSerName val="0"/>
            <c:showPercent val="0"/>
            <c:showBubbleSize val="0"/>
            <c:showLeaderLines val="0"/>
          </c:dLbls>
          <c:cat>
            <c:strRef>
              <c:f>'Area Data'!$B$15:$B$18</c:f>
              <c:strCache>
                <c:ptCount val="4"/>
                <c:pt idx="0">
                  <c:v>Job Search Assistance</c:v>
                </c:pt>
                <c:pt idx="1">
                  <c:v>Assessment </c:v>
                </c:pt>
                <c:pt idx="2">
                  <c:v>Skill Development</c:v>
                </c:pt>
                <c:pt idx="3">
                  <c:v>Referral to Community Services</c:v>
                </c:pt>
              </c:strCache>
            </c:strRef>
          </c:cat>
          <c:val>
            <c:numRef>
              <c:f>'State Data'!$C$14:$C$17</c:f>
              <c:numCache>
                <c:formatCode>#,##0</c:formatCode>
                <c:ptCount val="4"/>
                <c:pt idx="0">
                  <c:v>88019</c:v>
                </c:pt>
                <c:pt idx="1">
                  <c:v>52155</c:v>
                </c:pt>
                <c:pt idx="2">
                  <c:v>6773</c:v>
                </c:pt>
                <c:pt idx="3">
                  <c:v>4302</c:v>
                </c:pt>
              </c:numCache>
            </c:numRef>
          </c:val>
        </c:ser>
        <c:ser>
          <c:idx val="0"/>
          <c:order val="1"/>
          <c:invertIfNegative val="0"/>
          <c:dLbls>
            <c:txPr>
              <a:bodyPr/>
              <a:lstStyle/>
              <a:p>
                <a:pPr>
                  <a:defRPr sz="1100"/>
                </a:pPr>
                <a:endParaRPr lang="en-US"/>
              </a:p>
            </c:txPr>
            <c:showLegendKey val="0"/>
            <c:showVal val="1"/>
            <c:showCatName val="0"/>
            <c:showSerName val="0"/>
            <c:showPercent val="0"/>
            <c:showBubbleSize val="0"/>
            <c:showLeaderLines val="0"/>
          </c:dLbls>
          <c:cat>
            <c:strRef>
              <c:f>'Area Data'!$B$15:$B$18</c:f>
              <c:strCache>
                <c:ptCount val="4"/>
                <c:pt idx="0">
                  <c:v>Job Search Assistance</c:v>
                </c:pt>
                <c:pt idx="1">
                  <c:v>Assessment </c:v>
                </c:pt>
                <c:pt idx="2">
                  <c:v>Skill Development</c:v>
                </c:pt>
                <c:pt idx="3">
                  <c:v>Referral to Community Services</c:v>
                </c:pt>
              </c:strCache>
            </c:strRef>
          </c:cat>
          <c:val>
            <c:numRef>
              <c:f>'State Data'!$D$14:$D$17</c:f>
              <c:numCache>
                <c:formatCode>0%</c:formatCode>
                <c:ptCount val="4"/>
                <c:pt idx="0">
                  <c:v>0.75442055009385367</c:v>
                </c:pt>
                <c:pt idx="1">
                  <c:v>0.44702625331059131</c:v>
                </c:pt>
                <c:pt idx="2">
                  <c:v>5.805212949233314E-2</c:v>
                </c:pt>
                <c:pt idx="3">
                  <c:v>3.687291614882876E-2</c:v>
                </c:pt>
              </c:numCache>
            </c:numRef>
          </c:val>
        </c:ser>
        <c:dLbls>
          <c:showLegendKey val="0"/>
          <c:showVal val="1"/>
          <c:showCatName val="0"/>
          <c:showSerName val="0"/>
          <c:showPercent val="0"/>
          <c:showBubbleSize val="0"/>
        </c:dLbls>
        <c:gapWidth val="150"/>
        <c:axId val="141270016"/>
        <c:axId val="141275904"/>
      </c:barChart>
      <c:catAx>
        <c:axId val="141270016"/>
        <c:scaling>
          <c:orientation val="minMax"/>
        </c:scaling>
        <c:delete val="0"/>
        <c:axPos val="l"/>
        <c:numFmt formatCode="General" sourceLinked="1"/>
        <c:majorTickMark val="out"/>
        <c:minorTickMark val="none"/>
        <c:tickLblPos val="nextTo"/>
        <c:txPr>
          <a:bodyPr/>
          <a:lstStyle/>
          <a:p>
            <a:pPr>
              <a:defRPr sz="1400">
                <a:effectLst>
                  <a:outerShdw blurRad="50800" dist="38100" dir="8100000" algn="tr" rotWithShape="0">
                    <a:prstClr val="black">
                      <a:alpha val="40000"/>
                    </a:prstClr>
                  </a:outerShdw>
                </a:effectLst>
              </a:defRPr>
            </a:pPr>
            <a:endParaRPr lang="en-US"/>
          </a:p>
        </c:txPr>
        <c:crossAx val="141275904"/>
        <c:crosses val="autoZero"/>
        <c:auto val="1"/>
        <c:lblAlgn val="ctr"/>
        <c:lblOffset val="100"/>
        <c:noMultiLvlLbl val="0"/>
      </c:catAx>
      <c:valAx>
        <c:axId val="141275904"/>
        <c:scaling>
          <c:orientation val="minMax"/>
        </c:scaling>
        <c:delete val="0"/>
        <c:axPos val="b"/>
        <c:majorGridlines/>
        <c:numFmt formatCode="#,##0" sourceLinked="1"/>
        <c:majorTickMark val="out"/>
        <c:minorTickMark val="none"/>
        <c:tickLblPos val="nextTo"/>
        <c:crossAx val="141270016"/>
        <c:crosses val="autoZero"/>
        <c:crossBetween val="between"/>
        <c:majorUnit val="25000"/>
      </c:valAx>
    </c:plotArea>
    <c:plotVisOnly val="1"/>
    <c:dispBlanksAs val="gap"/>
    <c:showDLblsOverMax val="0"/>
  </c:chart>
  <c:spPr>
    <a:ln>
      <a:noFill/>
    </a:ln>
  </c:spPr>
  <c:printSettings>
    <c:headerFooter/>
    <c:pageMargins b="0.75000000000000899" l="0.70000000000000062" r="0.70000000000000062" t="0.75000000000000899"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image" Target="../media/image1.jpeg"/><Relationship Id="rId6" Type="http://schemas.openxmlformats.org/officeDocument/2006/relationships/chart" Target="../charts/chart13.xml"/><Relationship Id="rId5" Type="http://schemas.openxmlformats.org/officeDocument/2006/relationships/chart" Target="../charts/chart12.xml"/><Relationship Id="rId4" Type="http://schemas.openxmlformats.org/officeDocument/2006/relationships/chart" Target="../charts/chart11.xml"/></Relationships>
</file>

<file path=xl/drawings/_rels/drawing4.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chart" Target="../charts/chart15.xml"/><Relationship Id="rId1" Type="http://schemas.openxmlformats.org/officeDocument/2006/relationships/chart" Target="../charts/chart14.xml"/><Relationship Id="rId4" Type="http://schemas.openxmlformats.org/officeDocument/2006/relationships/chart" Target="../charts/chart16.xml"/></Relationships>
</file>

<file path=xl/drawings/_rels/drawing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chart" Target="../charts/chart19.xml"/><Relationship Id="rId1" Type="http://schemas.openxmlformats.org/officeDocument/2006/relationships/chart" Target="../charts/chart18.xml"/></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5</xdr:col>
      <xdr:colOff>428624</xdr:colOff>
      <xdr:row>1</xdr:row>
      <xdr:rowOff>0</xdr:rowOff>
    </xdr:from>
    <xdr:to>
      <xdr:col>12</xdr:col>
      <xdr:colOff>66675</xdr:colOff>
      <xdr:row>10</xdr:row>
      <xdr:rowOff>209430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10</xdr:row>
      <xdr:rowOff>211666</xdr:rowOff>
    </xdr:from>
    <xdr:to>
      <xdr:col>4</xdr:col>
      <xdr:colOff>408517</xdr:colOff>
      <xdr:row>18</xdr:row>
      <xdr:rowOff>512233</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403641</xdr:colOff>
      <xdr:row>10</xdr:row>
      <xdr:rowOff>209053</xdr:rowOff>
    </xdr:from>
    <xdr:to>
      <xdr:col>8</xdr:col>
      <xdr:colOff>484074</xdr:colOff>
      <xdr:row>18</xdr:row>
      <xdr:rowOff>509620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436183</xdr:colOff>
      <xdr:row>10</xdr:row>
      <xdr:rowOff>211215</xdr:rowOff>
    </xdr:from>
    <xdr:to>
      <xdr:col>12</xdr:col>
      <xdr:colOff>17083</xdr:colOff>
      <xdr:row>18</xdr:row>
      <xdr:rowOff>511782</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1755775</xdr:colOff>
      <xdr:row>1</xdr:row>
      <xdr:rowOff>85725</xdr:rowOff>
    </xdr:from>
    <xdr:to>
      <xdr:col>4</xdr:col>
      <xdr:colOff>1555750</xdr:colOff>
      <xdr:row>3</xdr:row>
      <xdr:rowOff>152400</xdr:rowOff>
    </xdr:to>
    <xdr:grpSp>
      <xdr:nvGrpSpPr>
        <xdr:cNvPr id="6" name="Group 5"/>
        <xdr:cNvGrpSpPr/>
      </xdr:nvGrpSpPr>
      <xdr:grpSpPr>
        <a:xfrm>
          <a:off x="1658239" y="520869"/>
          <a:ext cx="3541437" cy="685462"/>
          <a:chOff x="866775" y="542925"/>
          <a:chExt cx="2209800" cy="809625"/>
        </a:xfrm>
        <a:noFill/>
        <a:scene3d>
          <a:camera prst="orthographicFront">
            <a:rot lat="0" lon="0" rev="0"/>
          </a:camera>
          <a:lightRig rig="soft" dir="t">
            <a:rot lat="0" lon="0" rev="0"/>
          </a:lightRig>
        </a:scene3d>
      </xdr:grpSpPr>
      <xdr:sp macro="" textlink="">
        <xdr:nvSpPr>
          <xdr:cNvPr id="7" name="Rectangle 6"/>
          <xdr:cNvSpPr/>
        </xdr:nvSpPr>
        <xdr:spPr>
          <a:xfrm>
            <a:off x="866775" y="542925"/>
            <a:ext cx="2209800" cy="809625"/>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rtlCol="0" anchor="t"/>
          <a:lstStyle/>
          <a:p>
            <a:pPr algn="ctr"/>
            <a:r>
              <a:rPr lang="en-US" sz="1800" b="1">
                <a:solidFill>
                  <a:sysClr val="windowText" lastClr="000000"/>
                </a:solidFill>
              </a:rPr>
              <a:t>All</a:t>
            </a:r>
            <a:r>
              <a:rPr lang="en-US" sz="1800" b="1" baseline="0">
                <a:solidFill>
                  <a:sysClr val="windowText" lastClr="000000"/>
                </a:solidFill>
              </a:rPr>
              <a:t> Customers</a:t>
            </a:r>
            <a:endParaRPr lang="en-US" sz="1800" b="1">
              <a:solidFill>
                <a:sysClr val="windowText" lastClr="000000"/>
              </a:solidFill>
            </a:endParaRPr>
          </a:p>
        </xdr:txBody>
      </xdr:sp>
      <xdr:sp macro="" textlink="'Area Data'!C5">
        <xdr:nvSpPr>
          <xdr:cNvPr id="8" name="TextBox 7"/>
          <xdr:cNvSpPr txBox="1"/>
        </xdr:nvSpPr>
        <xdr:spPr>
          <a:xfrm>
            <a:off x="1619251" y="933451"/>
            <a:ext cx="781049" cy="285749"/>
          </a:xfrm>
          <a:prstGeom prst="rect">
            <a:avLst/>
          </a:prstGeom>
          <a:ln>
            <a:noFill/>
          </a:ln>
        </xdr:spPr>
        <xdr:style>
          <a:lnRef idx="2">
            <a:schemeClr val="accent1"/>
          </a:lnRef>
          <a:fillRef idx="1">
            <a:schemeClr val="lt1"/>
          </a:fillRef>
          <a:effectRef idx="0">
            <a:schemeClr val="accent1"/>
          </a:effectRef>
          <a:fontRef idx="minor">
            <a:schemeClr val="dk1"/>
          </a:fontRef>
        </xdr:style>
        <xdr:txBody>
          <a:bodyPr vertOverflow="clip" wrap="square" rtlCol="0" anchor="ctr"/>
          <a:lstStyle/>
          <a:p>
            <a:pPr algn="ctr"/>
            <a:fld id="{F062D80B-02C0-431D-A07B-FD972C4CE41E}" type="TxLink">
              <a:rPr lang="en-US" sz="1200" b="1" i="0" u="none" strike="noStrike">
                <a:solidFill>
                  <a:srgbClr val="000000"/>
                </a:solidFill>
                <a:latin typeface="Calibri"/>
                <a:cs typeface="Calibri"/>
              </a:rPr>
              <a:pPr algn="ctr"/>
              <a:t>9,417</a:t>
            </a:fld>
            <a:endParaRPr lang="en-US" sz="1100" b="1">
              <a:solidFill>
                <a:sysClr val="windowText" lastClr="000000"/>
              </a:solidFill>
            </a:endParaRPr>
          </a:p>
        </xdr:txBody>
      </xdr:sp>
    </xdr:grpSp>
    <xdr:clientData/>
  </xdr:twoCellAnchor>
  <xdr:twoCellAnchor>
    <xdr:from>
      <xdr:col>0</xdr:col>
      <xdr:colOff>137584</xdr:colOff>
      <xdr:row>1</xdr:row>
      <xdr:rowOff>144993</xdr:rowOff>
    </xdr:from>
    <xdr:to>
      <xdr:col>0</xdr:col>
      <xdr:colOff>1332442</xdr:colOff>
      <xdr:row>4</xdr:row>
      <xdr:rowOff>73025</xdr:rowOff>
    </xdr:to>
    <xdr:grpSp>
      <xdr:nvGrpSpPr>
        <xdr:cNvPr id="9" name="Group 8"/>
        <xdr:cNvGrpSpPr/>
      </xdr:nvGrpSpPr>
      <xdr:grpSpPr>
        <a:xfrm>
          <a:off x="130726" y="577851"/>
          <a:ext cx="1127040" cy="780753"/>
          <a:chOff x="3334038" y="421828"/>
          <a:chExt cx="1371599" cy="942975"/>
        </a:xfrm>
        <a:noFill/>
        <a:effectLst>
          <a:outerShdw blurRad="50800" dist="38100" dir="2700000" algn="tl" rotWithShape="0">
            <a:prstClr val="black">
              <a:alpha val="40000"/>
            </a:prstClr>
          </a:outerShdw>
        </a:effectLst>
        <a:scene3d>
          <a:camera prst="orthographicFront">
            <a:rot lat="0" lon="0" rev="0"/>
          </a:camera>
          <a:lightRig rig="contrasting" dir="t">
            <a:rot lat="0" lon="0" rev="1500000"/>
          </a:lightRig>
        </a:scene3d>
      </xdr:grpSpPr>
      <xdr:sp macro="" textlink="">
        <xdr:nvSpPr>
          <xdr:cNvPr id="10" name="Rectangle 9"/>
          <xdr:cNvSpPr/>
        </xdr:nvSpPr>
        <xdr:spPr>
          <a:xfrm>
            <a:off x="3334038" y="421828"/>
            <a:ext cx="1371599" cy="942975"/>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rtlCol="0" anchor="t"/>
          <a:lstStyle/>
          <a:p>
            <a:pPr algn="ctr"/>
            <a:r>
              <a:rPr lang="en-US" sz="1400" b="1">
                <a:solidFill>
                  <a:sysClr val="windowText" lastClr="000000"/>
                </a:solidFill>
              </a:rPr>
              <a:t>Self-Service Only</a:t>
            </a:r>
          </a:p>
        </xdr:txBody>
      </xdr:sp>
      <xdr:sp macro="" textlink="'Area Data'!C7">
        <xdr:nvSpPr>
          <xdr:cNvPr id="11" name="TextBox 10"/>
          <xdr:cNvSpPr txBox="1"/>
        </xdr:nvSpPr>
        <xdr:spPr>
          <a:xfrm>
            <a:off x="3582838" y="955485"/>
            <a:ext cx="876300" cy="349704"/>
          </a:xfrm>
          <a:prstGeom prst="rect">
            <a:avLst/>
          </a:prstGeom>
          <a:ln>
            <a:noFill/>
          </a:ln>
        </xdr:spPr>
        <xdr:style>
          <a:lnRef idx="2">
            <a:schemeClr val="accent1"/>
          </a:lnRef>
          <a:fillRef idx="1">
            <a:schemeClr val="lt1"/>
          </a:fillRef>
          <a:effectRef idx="0">
            <a:schemeClr val="accent1"/>
          </a:effectRef>
          <a:fontRef idx="minor">
            <a:schemeClr val="dk1"/>
          </a:fontRef>
        </xdr:style>
        <xdr:txBody>
          <a:bodyPr vertOverflow="clip" wrap="square" rtlCol="0" anchor="ctr"/>
          <a:lstStyle/>
          <a:p>
            <a:pPr algn="ctr"/>
            <a:fld id="{0ED87969-7EE9-47E1-B6C9-55F5F4A40280}" type="TxLink">
              <a:rPr lang="en-US" sz="1200" b="1" i="0" u="none" strike="noStrike">
                <a:solidFill>
                  <a:srgbClr val="000000"/>
                </a:solidFill>
                <a:latin typeface="Calibri"/>
                <a:cs typeface="Calibri"/>
              </a:rPr>
              <a:pPr algn="ctr"/>
              <a:t>3,667</a:t>
            </a:fld>
            <a:endParaRPr lang="en-US" sz="1100" b="1">
              <a:solidFill>
                <a:sysClr val="windowText" lastClr="000000"/>
              </a:solidFill>
            </a:endParaRPr>
          </a:p>
        </xdr:txBody>
      </xdr:sp>
    </xdr:grpSp>
    <xdr:clientData/>
  </xdr:twoCellAnchor>
  <xdr:twoCellAnchor>
    <xdr:from>
      <xdr:col>0</xdr:col>
      <xdr:colOff>1672169</xdr:colOff>
      <xdr:row>4</xdr:row>
      <xdr:rowOff>80436</xdr:rowOff>
    </xdr:from>
    <xdr:to>
      <xdr:col>4</xdr:col>
      <xdr:colOff>751419</xdr:colOff>
      <xdr:row>6</xdr:row>
      <xdr:rowOff>251886</xdr:rowOff>
    </xdr:to>
    <xdr:grpSp>
      <xdr:nvGrpSpPr>
        <xdr:cNvPr id="12" name="Group 11"/>
        <xdr:cNvGrpSpPr/>
      </xdr:nvGrpSpPr>
      <xdr:grpSpPr>
        <a:xfrm>
          <a:off x="1577681" y="1366015"/>
          <a:ext cx="2861860" cy="621792"/>
          <a:chOff x="751249" y="542925"/>
          <a:chExt cx="2209800" cy="809625"/>
        </a:xfrm>
        <a:noFill/>
        <a:scene3d>
          <a:camera prst="orthographicFront">
            <a:rot lat="0" lon="0" rev="0"/>
          </a:camera>
          <a:lightRig rig="soft" dir="t">
            <a:rot lat="0" lon="0" rev="0"/>
          </a:lightRig>
        </a:scene3d>
      </xdr:grpSpPr>
      <xdr:sp macro="" textlink="">
        <xdr:nvSpPr>
          <xdr:cNvPr id="13" name="Rectangle 12"/>
          <xdr:cNvSpPr/>
        </xdr:nvSpPr>
        <xdr:spPr>
          <a:xfrm>
            <a:off x="751249" y="542925"/>
            <a:ext cx="2209800" cy="809625"/>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rtlCol="0" anchor="t"/>
          <a:lstStyle/>
          <a:p>
            <a:pPr algn="ctr"/>
            <a:r>
              <a:rPr lang="en-US" sz="1400" b="1" baseline="0">
                <a:solidFill>
                  <a:sysClr val="windowText" lastClr="000000"/>
                </a:solidFill>
              </a:rPr>
              <a:t>Staff-Assisted  Customers</a:t>
            </a:r>
            <a:endParaRPr lang="en-US" sz="1400" b="1">
              <a:solidFill>
                <a:sysClr val="windowText" lastClr="000000"/>
              </a:solidFill>
            </a:endParaRPr>
          </a:p>
        </xdr:txBody>
      </xdr:sp>
      <xdr:sp macro="" textlink="'Area Data'!C6">
        <xdr:nvSpPr>
          <xdr:cNvPr id="14" name="TextBox 13"/>
          <xdr:cNvSpPr txBox="1"/>
        </xdr:nvSpPr>
        <xdr:spPr>
          <a:xfrm>
            <a:off x="1253379" y="964195"/>
            <a:ext cx="1256822" cy="285749"/>
          </a:xfrm>
          <a:prstGeom prst="rect">
            <a:avLst/>
          </a:prstGeom>
          <a:ln>
            <a:noFill/>
          </a:ln>
        </xdr:spPr>
        <xdr:style>
          <a:lnRef idx="2">
            <a:schemeClr val="accent1"/>
          </a:lnRef>
          <a:fillRef idx="1">
            <a:schemeClr val="lt1"/>
          </a:fillRef>
          <a:effectRef idx="0">
            <a:schemeClr val="accent1"/>
          </a:effectRef>
          <a:fontRef idx="minor">
            <a:schemeClr val="dk1"/>
          </a:fontRef>
        </xdr:style>
        <xdr:txBody>
          <a:bodyPr vertOverflow="clip" wrap="square" rtlCol="0" anchor="ctr"/>
          <a:lstStyle/>
          <a:p>
            <a:pPr algn="ctr"/>
            <a:fld id="{DE08335C-A155-4E24-99A0-4370A5EBF48C}" type="TxLink">
              <a:rPr lang="en-US" sz="1200" b="1" i="0" u="none" strike="noStrike">
                <a:solidFill>
                  <a:srgbClr val="000000"/>
                </a:solidFill>
                <a:latin typeface="Calibri"/>
                <a:cs typeface="Calibri"/>
              </a:rPr>
              <a:pPr algn="ctr"/>
              <a:t>5,745</a:t>
            </a:fld>
            <a:endParaRPr lang="en-US" sz="1100" b="1">
              <a:solidFill>
                <a:sysClr val="windowText" lastClr="000000"/>
              </a:solidFill>
            </a:endParaRPr>
          </a:p>
        </xdr:txBody>
      </xdr:sp>
    </xdr:grpSp>
    <xdr:clientData/>
  </xdr:twoCellAnchor>
  <xdr:twoCellAnchor>
    <xdr:from>
      <xdr:col>0</xdr:col>
      <xdr:colOff>400051</xdr:colOff>
      <xdr:row>6</xdr:row>
      <xdr:rowOff>527048</xdr:rowOff>
    </xdr:from>
    <xdr:to>
      <xdr:col>1</xdr:col>
      <xdr:colOff>25401</xdr:colOff>
      <xdr:row>10</xdr:row>
      <xdr:rowOff>101600</xdr:rowOff>
    </xdr:to>
    <xdr:sp macro="" textlink="">
      <xdr:nvSpPr>
        <xdr:cNvPr id="15" name="Rectangle 14"/>
        <xdr:cNvSpPr/>
      </xdr:nvSpPr>
      <xdr:spPr>
        <a:xfrm>
          <a:off x="400051" y="2346323"/>
          <a:ext cx="1435100" cy="869952"/>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rtlCol="0" anchor="t"/>
        <a:lstStyle/>
        <a:p>
          <a:pPr algn="ctr"/>
          <a:r>
            <a:rPr lang="en-US" sz="1200" b="1" baseline="0">
              <a:solidFill>
                <a:sysClr val="windowText" lastClr="000000"/>
              </a:solidFill>
            </a:rPr>
            <a:t>Core Only </a:t>
          </a:r>
          <a:endParaRPr lang="en-US" sz="1200" b="1">
            <a:solidFill>
              <a:sysClr val="windowText" lastClr="000000"/>
            </a:solidFill>
          </a:endParaRPr>
        </a:p>
      </xdr:txBody>
    </xdr:sp>
    <xdr:clientData/>
  </xdr:twoCellAnchor>
  <xdr:twoCellAnchor>
    <xdr:from>
      <xdr:col>0</xdr:col>
      <xdr:colOff>685801</xdr:colOff>
      <xdr:row>8</xdr:row>
      <xdr:rowOff>171448</xdr:rowOff>
    </xdr:from>
    <xdr:to>
      <xdr:col>0</xdr:col>
      <xdr:colOff>1600201</xdr:colOff>
      <xdr:row>9</xdr:row>
      <xdr:rowOff>190497</xdr:rowOff>
    </xdr:to>
    <xdr:sp macro="" textlink="'Area Data'!C9">
      <xdr:nvSpPr>
        <xdr:cNvPr id="16" name="TextBox 15"/>
        <xdr:cNvSpPr txBox="1"/>
      </xdr:nvSpPr>
      <xdr:spPr>
        <a:xfrm>
          <a:off x="685801" y="2809873"/>
          <a:ext cx="914400" cy="257174"/>
        </a:xfrm>
        <a:prstGeom prst="rect">
          <a:avLst/>
        </a:prstGeom>
        <a:noFill/>
        <a:ln w="9525" cmpd="sng">
          <a:noFill/>
        </a:ln>
        <a:effectLst/>
        <a:scene3d>
          <a:camera prst="orthographicFront">
            <a:rot lat="0" lon="0" rev="0"/>
          </a:camera>
          <a:lightRig rig="soft" dir="t">
            <a:rot lat="0" lon="0" rev="0"/>
          </a:lightRig>
        </a:scene3d>
        <a:sp3d contourW="44450" prstMaterial="matte">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fld id="{6C8F0539-0F05-44E4-A7BC-E6ED2D9006AA}" type="TxLink">
            <a:rPr lang="en-US" sz="1200" b="1" i="0" u="none" strike="noStrike">
              <a:solidFill>
                <a:srgbClr val="000000"/>
              </a:solidFill>
              <a:latin typeface="Calibri"/>
              <a:cs typeface="Calibri"/>
            </a:rPr>
            <a:pPr algn="ctr"/>
            <a:t>4,885</a:t>
          </a:fld>
          <a:endParaRPr lang="en-US" sz="1300" b="1">
            <a:solidFill>
              <a:sysClr val="windowText" lastClr="000000"/>
            </a:solidFill>
          </a:endParaRPr>
        </a:p>
      </xdr:txBody>
    </xdr:sp>
    <xdr:clientData/>
  </xdr:twoCellAnchor>
  <xdr:twoCellAnchor>
    <xdr:from>
      <xdr:col>4</xdr:col>
      <xdr:colOff>444499</xdr:colOff>
      <xdr:row>6</xdr:row>
      <xdr:rowOff>541864</xdr:rowOff>
    </xdr:from>
    <xdr:to>
      <xdr:col>6</xdr:col>
      <xdr:colOff>236157</xdr:colOff>
      <xdr:row>10</xdr:row>
      <xdr:rowOff>120650</xdr:rowOff>
    </xdr:to>
    <xdr:sp macro="" textlink="">
      <xdr:nvSpPr>
        <xdr:cNvPr id="17" name="Rectangle 16"/>
        <xdr:cNvSpPr/>
      </xdr:nvSpPr>
      <xdr:spPr>
        <a:xfrm>
          <a:off x="4235449" y="2361139"/>
          <a:ext cx="2001458" cy="874186"/>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rtlCol="0" anchor="t"/>
        <a:lstStyle/>
        <a:p>
          <a:pPr algn="l"/>
          <a:r>
            <a:rPr lang="en-US" sz="1200" b="1" baseline="0">
              <a:solidFill>
                <a:sysClr val="windowText" lastClr="000000"/>
              </a:solidFill>
            </a:rPr>
            <a:t>          Training</a:t>
          </a:r>
        </a:p>
        <a:p>
          <a:pPr algn="l"/>
          <a:r>
            <a:rPr lang="en-US" sz="1200" b="1" baseline="0">
              <a:solidFill>
                <a:sysClr val="windowText" lastClr="000000"/>
              </a:solidFill>
            </a:rPr>
            <a:t>               New:</a:t>
          </a:r>
        </a:p>
        <a:p>
          <a:pPr algn="l"/>
          <a:r>
            <a:rPr lang="en-US" sz="1200" b="1" baseline="0">
              <a:solidFill>
                <a:sysClr val="windowText" lastClr="000000"/>
              </a:solidFill>
            </a:rPr>
            <a:t>        Ongoing:</a:t>
          </a:r>
        </a:p>
        <a:p>
          <a:pPr algn="l"/>
          <a:r>
            <a:rPr lang="en-US" sz="1200" b="1" baseline="0">
              <a:solidFill>
                <a:sysClr val="windowText" lastClr="000000"/>
              </a:solidFill>
            </a:rPr>
            <a:t>      Complete:</a:t>
          </a:r>
        </a:p>
        <a:p>
          <a:pPr algn="ctr"/>
          <a:endParaRPr lang="en-US" sz="1200" b="1">
            <a:solidFill>
              <a:sysClr val="windowText" lastClr="000000"/>
            </a:solidFill>
          </a:endParaRPr>
        </a:p>
      </xdr:txBody>
    </xdr:sp>
    <xdr:clientData/>
  </xdr:twoCellAnchor>
  <xdr:twoCellAnchor>
    <xdr:from>
      <xdr:col>4</xdr:col>
      <xdr:colOff>1533526</xdr:colOff>
      <xdr:row>8</xdr:row>
      <xdr:rowOff>120651</xdr:rowOff>
    </xdr:from>
    <xdr:to>
      <xdr:col>6</xdr:col>
      <xdr:colOff>112333</xdr:colOff>
      <xdr:row>9</xdr:row>
      <xdr:rowOff>104775</xdr:rowOff>
    </xdr:to>
    <xdr:sp macro="" textlink="'Area Data'!C12">
      <xdr:nvSpPr>
        <xdr:cNvPr id="18" name="TextBox 17"/>
        <xdr:cNvSpPr txBox="1"/>
      </xdr:nvSpPr>
      <xdr:spPr>
        <a:xfrm>
          <a:off x="5324476" y="2759076"/>
          <a:ext cx="788607" cy="222249"/>
        </a:xfrm>
        <a:prstGeom prst="rect">
          <a:avLst/>
        </a:prstGeom>
        <a:noFill/>
        <a:ln w="9525" cmpd="sng">
          <a:noFill/>
        </a:ln>
        <a:effectLst/>
        <a:scene3d>
          <a:camera prst="orthographicFront">
            <a:rot lat="0" lon="0" rev="0"/>
          </a:camera>
          <a:lightRig rig="soft" dir="t">
            <a:rot lat="0" lon="0" rev="0"/>
          </a:lightRig>
        </a:scene3d>
        <a:sp3d contourW="44450" prstMaterial="matte">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fld id="{994379F8-B75C-4EC3-AC06-B28683296EE9}" type="TxLink">
            <a:rPr lang="en-US" sz="1200" b="1" i="0" u="none" strike="noStrike">
              <a:solidFill>
                <a:srgbClr val="000000"/>
              </a:solidFill>
              <a:latin typeface="Calibri"/>
              <a:cs typeface="Calibri"/>
            </a:rPr>
            <a:pPr algn="ctr"/>
            <a:t>377</a:t>
          </a:fld>
          <a:endParaRPr lang="en-US" sz="1300" b="1">
            <a:solidFill>
              <a:sysClr val="windowText" lastClr="000000"/>
            </a:solidFill>
          </a:endParaRPr>
        </a:p>
      </xdr:txBody>
    </xdr:sp>
    <xdr:clientData/>
  </xdr:twoCellAnchor>
  <xdr:twoCellAnchor>
    <xdr:from>
      <xdr:col>1</xdr:col>
      <xdr:colOff>238125</xdr:colOff>
      <xdr:row>6</xdr:row>
      <xdr:rowOff>536573</xdr:rowOff>
    </xdr:from>
    <xdr:to>
      <xdr:col>4</xdr:col>
      <xdr:colOff>228600</xdr:colOff>
      <xdr:row>10</xdr:row>
      <xdr:rowOff>120650</xdr:rowOff>
    </xdr:to>
    <xdr:sp macro="" textlink="">
      <xdr:nvSpPr>
        <xdr:cNvPr id="19" name="Rectangle 18"/>
        <xdr:cNvSpPr/>
      </xdr:nvSpPr>
      <xdr:spPr>
        <a:xfrm>
          <a:off x="2047875" y="2355848"/>
          <a:ext cx="1971675" cy="879477"/>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rtlCol="0" anchor="t"/>
        <a:lstStyle/>
        <a:p>
          <a:pPr algn="ctr"/>
          <a:r>
            <a:rPr lang="en-US" sz="1200" b="1" baseline="0">
              <a:solidFill>
                <a:sysClr val="windowText" lastClr="000000"/>
              </a:solidFill>
            </a:rPr>
            <a:t>Core/Intensive Only</a:t>
          </a:r>
          <a:endParaRPr lang="en-US" sz="1200" b="1">
            <a:solidFill>
              <a:sysClr val="windowText" lastClr="000000"/>
            </a:solidFill>
          </a:endParaRPr>
        </a:p>
      </xdr:txBody>
    </xdr:sp>
    <xdr:clientData/>
  </xdr:twoCellAnchor>
  <xdr:twoCellAnchor>
    <xdr:from>
      <xdr:col>4</xdr:col>
      <xdr:colOff>1554692</xdr:colOff>
      <xdr:row>7</xdr:row>
      <xdr:rowOff>183093</xdr:rowOff>
    </xdr:from>
    <xdr:to>
      <xdr:col>6</xdr:col>
      <xdr:colOff>83758</xdr:colOff>
      <xdr:row>8</xdr:row>
      <xdr:rowOff>133350</xdr:rowOff>
    </xdr:to>
    <xdr:sp macro="" textlink="'Area Data'!C11">
      <xdr:nvSpPr>
        <xdr:cNvPr id="20" name="TextBox 19"/>
        <xdr:cNvSpPr txBox="1"/>
      </xdr:nvSpPr>
      <xdr:spPr>
        <a:xfrm>
          <a:off x="5345642" y="2573868"/>
          <a:ext cx="738866" cy="197907"/>
        </a:xfrm>
        <a:prstGeom prst="rect">
          <a:avLst/>
        </a:prstGeom>
        <a:noFill/>
        <a:ln w="9525" cmpd="sng">
          <a:noFill/>
        </a:ln>
        <a:effectLst/>
        <a:scene3d>
          <a:camera prst="orthographicFront">
            <a:rot lat="0" lon="0" rev="0"/>
          </a:camera>
          <a:lightRig rig="soft" dir="t">
            <a:rot lat="0" lon="0" rev="0"/>
          </a:lightRig>
        </a:scene3d>
        <a:sp3d contourW="44450" prstMaterial="matte">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fld id="{9ECB41BD-538E-4201-A34A-9B6DE3095FD6}" type="TxLink">
            <a:rPr lang="en-US" sz="1200" b="1" i="0" u="none" strike="noStrike">
              <a:solidFill>
                <a:srgbClr val="000000"/>
              </a:solidFill>
              <a:latin typeface="Calibri"/>
              <a:cs typeface="Calibri"/>
            </a:rPr>
            <a:pPr algn="ctr"/>
            <a:t>113</a:t>
          </a:fld>
          <a:endParaRPr lang="en-US" sz="1300" b="1">
            <a:solidFill>
              <a:sysClr val="windowText" lastClr="000000"/>
            </a:solidFill>
          </a:endParaRPr>
        </a:p>
      </xdr:txBody>
    </xdr:sp>
    <xdr:clientData/>
  </xdr:twoCellAnchor>
  <xdr:twoCellAnchor>
    <xdr:from>
      <xdr:col>4</xdr:col>
      <xdr:colOff>1450976</xdr:colOff>
      <xdr:row>9</xdr:row>
      <xdr:rowOff>93134</xdr:rowOff>
    </xdr:from>
    <xdr:to>
      <xdr:col>6</xdr:col>
      <xdr:colOff>140908</xdr:colOff>
      <xdr:row>10</xdr:row>
      <xdr:rowOff>66675</xdr:rowOff>
    </xdr:to>
    <xdr:sp macro="" textlink="'Area Data'!C13">
      <xdr:nvSpPr>
        <xdr:cNvPr id="21" name="TextBox 20"/>
        <xdr:cNvSpPr txBox="1"/>
      </xdr:nvSpPr>
      <xdr:spPr>
        <a:xfrm>
          <a:off x="5241926" y="2969684"/>
          <a:ext cx="899732" cy="211666"/>
        </a:xfrm>
        <a:prstGeom prst="rect">
          <a:avLst/>
        </a:prstGeom>
        <a:noFill/>
        <a:ln w="9525" cmpd="sng">
          <a:noFill/>
        </a:ln>
        <a:effectLst/>
        <a:scene3d>
          <a:camera prst="orthographicFront">
            <a:rot lat="0" lon="0" rev="0"/>
          </a:camera>
          <a:lightRig rig="soft" dir="t">
            <a:rot lat="0" lon="0" rev="0"/>
          </a:lightRig>
        </a:scene3d>
        <a:sp3d contourW="44450" prstMaterial="matte">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fld id="{A9AAB5F9-9654-497F-8612-D4128C7B8B68}" type="TxLink">
            <a:rPr lang="en-US" sz="1200" b="1" i="0" u="none" strike="noStrike">
              <a:solidFill>
                <a:srgbClr val="000000"/>
              </a:solidFill>
              <a:latin typeface="Calibri"/>
              <a:cs typeface="Calibri"/>
            </a:rPr>
            <a:pPr algn="ctr"/>
            <a:t>95</a:t>
          </a:fld>
          <a:endParaRPr lang="en-US" sz="1300" b="1">
            <a:solidFill>
              <a:sysClr val="windowText" lastClr="000000"/>
            </a:solidFill>
          </a:endParaRPr>
        </a:p>
      </xdr:txBody>
    </xdr:sp>
    <xdr:clientData/>
  </xdr:twoCellAnchor>
  <xdr:twoCellAnchor>
    <xdr:from>
      <xdr:col>1</xdr:col>
      <xdr:colOff>331408</xdr:colOff>
      <xdr:row>8</xdr:row>
      <xdr:rowOff>167216</xdr:rowOff>
    </xdr:from>
    <xdr:to>
      <xdr:col>4</xdr:col>
      <xdr:colOff>93283</xdr:colOff>
      <xdr:row>9</xdr:row>
      <xdr:rowOff>180975</xdr:rowOff>
    </xdr:to>
    <xdr:sp macro="" textlink="'Area Data'!C10">
      <xdr:nvSpPr>
        <xdr:cNvPr id="22" name="TextBox 21"/>
        <xdr:cNvSpPr txBox="1"/>
      </xdr:nvSpPr>
      <xdr:spPr>
        <a:xfrm>
          <a:off x="2141158" y="2805641"/>
          <a:ext cx="1743075" cy="251884"/>
        </a:xfrm>
        <a:prstGeom prst="rect">
          <a:avLst/>
        </a:prstGeom>
        <a:noFill/>
        <a:ln w="9525" cmpd="sng">
          <a:noFill/>
        </a:ln>
        <a:effectLst/>
        <a:scene3d>
          <a:camera prst="orthographicFront">
            <a:rot lat="0" lon="0" rev="0"/>
          </a:camera>
          <a:lightRig rig="soft" dir="t">
            <a:rot lat="0" lon="0" rev="0"/>
          </a:lightRig>
        </a:scene3d>
        <a:sp3d contourW="44450" prstMaterial="matte">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fld id="{3C9F513F-C6D6-45F5-BFAE-C0CA25E05043}" type="TxLink">
            <a:rPr lang="en-US" sz="1200" b="1" i="0" u="none" strike="noStrike">
              <a:solidFill>
                <a:srgbClr val="000000"/>
              </a:solidFill>
              <a:latin typeface="Calibri"/>
              <a:cs typeface="Calibri"/>
            </a:rPr>
            <a:pPr algn="ctr"/>
            <a:t>744</a:t>
          </a:fld>
          <a:endParaRPr lang="en-US" sz="1300" b="1">
            <a:solidFill>
              <a:sysClr val="windowText" lastClr="000000"/>
            </a:solidFill>
          </a:endParaRPr>
        </a:p>
      </xdr:txBody>
    </xdr:sp>
    <xdr:clientData/>
  </xdr:twoCellAnchor>
  <xdr:twoCellAnchor>
    <xdr:from>
      <xdr:col>0</xdr:col>
      <xdr:colOff>1312185</xdr:colOff>
      <xdr:row>2</xdr:row>
      <xdr:rowOff>28575</xdr:rowOff>
    </xdr:from>
    <xdr:to>
      <xdr:col>0</xdr:col>
      <xdr:colOff>1735518</xdr:colOff>
      <xdr:row>2</xdr:row>
      <xdr:rowOff>137584</xdr:rowOff>
    </xdr:to>
    <xdr:cxnSp macro="">
      <xdr:nvCxnSpPr>
        <xdr:cNvPr id="28" name="Straight Connector 27"/>
        <xdr:cNvCxnSpPr/>
      </xdr:nvCxnSpPr>
      <xdr:spPr>
        <a:xfrm rot="10800000" flipV="1">
          <a:off x="1312185" y="895350"/>
          <a:ext cx="423333" cy="109009"/>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384024</xdr:colOff>
      <xdr:row>3</xdr:row>
      <xdr:rowOff>122241</xdr:rowOff>
    </xdr:from>
    <xdr:to>
      <xdr:col>2</xdr:col>
      <xdr:colOff>384027</xdr:colOff>
      <xdr:row>4</xdr:row>
      <xdr:rowOff>75674</xdr:rowOff>
    </xdr:to>
    <xdr:cxnSp macro="">
      <xdr:nvCxnSpPr>
        <xdr:cNvPr id="29" name="Straight Connector 28"/>
        <xdr:cNvCxnSpPr/>
      </xdr:nvCxnSpPr>
      <xdr:spPr>
        <a:xfrm rot="16200000" flipH="1">
          <a:off x="2440897" y="1322918"/>
          <a:ext cx="191558" cy="3"/>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778786</xdr:colOff>
      <xdr:row>5</xdr:row>
      <xdr:rowOff>161400</xdr:rowOff>
    </xdr:from>
    <xdr:to>
      <xdr:col>5</xdr:col>
      <xdr:colOff>503617</xdr:colOff>
      <xdr:row>5</xdr:row>
      <xdr:rowOff>164572</xdr:rowOff>
    </xdr:to>
    <xdr:cxnSp macro="">
      <xdr:nvCxnSpPr>
        <xdr:cNvPr id="30" name="Straight Arrow Connector 29"/>
        <xdr:cNvCxnSpPr/>
      </xdr:nvCxnSpPr>
      <xdr:spPr>
        <a:xfrm>
          <a:off x="4569736" y="1742550"/>
          <a:ext cx="1391706" cy="3172"/>
        </a:xfrm>
        <a:prstGeom prst="straightConnector1">
          <a:avLst/>
        </a:prstGeom>
        <a:ln w="635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333375</xdr:colOff>
      <xdr:row>6</xdr:row>
      <xdr:rowOff>252412</xdr:rowOff>
    </xdr:from>
    <xdr:to>
      <xdr:col>2</xdr:col>
      <xdr:colOff>336551</xdr:colOff>
      <xdr:row>6</xdr:row>
      <xdr:rowOff>531811</xdr:rowOff>
    </xdr:to>
    <xdr:cxnSp macro="">
      <xdr:nvCxnSpPr>
        <xdr:cNvPr id="31" name="Straight Connector 30"/>
        <xdr:cNvCxnSpPr/>
      </xdr:nvCxnSpPr>
      <xdr:spPr>
        <a:xfrm rot="5400000">
          <a:off x="2347913" y="2209799"/>
          <a:ext cx="279399" cy="3176"/>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1114425</xdr:colOff>
      <xdr:row>6</xdr:row>
      <xdr:rowOff>338140</xdr:rowOff>
    </xdr:from>
    <xdr:to>
      <xdr:col>4</xdr:col>
      <xdr:colOff>1311275</xdr:colOff>
      <xdr:row>6</xdr:row>
      <xdr:rowOff>338140</xdr:rowOff>
    </xdr:to>
    <xdr:cxnSp macro="">
      <xdr:nvCxnSpPr>
        <xdr:cNvPr id="32" name="Straight Connector 31"/>
        <xdr:cNvCxnSpPr/>
      </xdr:nvCxnSpPr>
      <xdr:spPr>
        <a:xfrm rot="10800000">
          <a:off x="1114425" y="2157415"/>
          <a:ext cx="3987800" cy="0"/>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352425</xdr:colOff>
      <xdr:row>6</xdr:row>
      <xdr:rowOff>266700</xdr:rowOff>
    </xdr:from>
    <xdr:to>
      <xdr:col>2</xdr:col>
      <xdr:colOff>355601</xdr:colOff>
      <xdr:row>6</xdr:row>
      <xdr:rowOff>546099</xdr:rowOff>
    </xdr:to>
    <xdr:cxnSp macro="">
      <xdr:nvCxnSpPr>
        <xdr:cNvPr id="33" name="Straight Connector 32"/>
        <xdr:cNvCxnSpPr/>
      </xdr:nvCxnSpPr>
      <xdr:spPr>
        <a:xfrm rot="5400000">
          <a:off x="2366963" y="2224087"/>
          <a:ext cx="279399" cy="3176"/>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1304925</xdr:colOff>
      <xdr:row>6</xdr:row>
      <xdr:rowOff>342904</xdr:rowOff>
    </xdr:from>
    <xdr:to>
      <xdr:col>4</xdr:col>
      <xdr:colOff>1304925</xdr:colOff>
      <xdr:row>6</xdr:row>
      <xdr:rowOff>525784</xdr:rowOff>
    </xdr:to>
    <xdr:cxnSp macro="">
      <xdr:nvCxnSpPr>
        <xdr:cNvPr id="34" name="Straight Connector 33"/>
        <xdr:cNvCxnSpPr/>
      </xdr:nvCxnSpPr>
      <xdr:spPr>
        <a:xfrm rot="5400000">
          <a:off x="5004435" y="2253619"/>
          <a:ext cx="182880" cy="0"/>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1123950</xdr:colOff>
      <xdr:row>6</xdr:row>
      <xdr:rowOff>349254</xdr:rowOff>
    </xdr:from>
    <xdr:to>
      <xdr:col>0</xdr:col>
      <xdr:colOff>1123950</xdr:colOff>
      <xdr:row>6</xdr:row>
      <xdr:rowOff>532134</xdr:rowOff>
    </xdr:to>
    <xdr:cxnSp macro="">
      <xdr:nvCxnSpPr>
        <xdr:cNvPr id="35" name="Straight Connector 34"/>
        <xdr:cNvCxnSpPr/>
      </xdr:nvCxnSpPr>
      <xdr:spPr>
        <a:xfrm rot="5400000">
          <a:off x="1032510" y="2259969"/>
          <a:ext cx="182880" cy="0"/>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457200</xdr:colOff>
      <xdr:row>13</xdr:row>
      <xdr:rowOff>38100</xdr:rowOff>
    </xdr:from>
    <xdr:to>
      <xdr:col>11</xdr:col>
      <xdr:colOff>561975</xdr:colOff>
      <xdr:row>15</xdr:row>
      <xdr:rowOff>271992</xdr:rowOff>
    </xdr:to>
    <xdr:graphicFrame macro="">
      <xdr:nvGraphicFramePr>
        <xdr:cNvPr id="36" name="Chart 3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380997</xdr:colOff>
      <xdr:row>10</xdr:row>
      <xdr:rowOff>510115</xdr:rowOff>
    </xdr:from>
    <xdr:to>
      <xdr:col>11</xdr:col>
      <xdr:colOff>1262064</xdr:colOff>
      <xdr:row>17</xdr:row>
      <xdr:rowOff>160076</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333377</xdr:colOff>
      <xdr:row>1</xdr:row>
      <xdr:rowOff>50539</xdr:rowOff>
    </xdr:from>
    <xdr:to>
      <xdr:col>11</xdr:col>
      <xdr:colOff>1227299</xdr:colOff>
      <xdr:row>10</xdr:row>
      <xdr:rowOff>281997</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xdr:row>
      <xdr:rowOff>35718</xdr:rowOff>
    </xdr:from>
    <xdr:to>
      <xdr:col>5</xdr:col>
      <xdr:colOff>1452564</xdr:colOff>
      <xdr:row>17</xdr:row>
      <xdr:rowOff>160074</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248151</xdr:colOff>
      <xdr:row>0</xdr:row>
      <xdr:rowOff>19050</xdr:rowOff>
    </xdr:from>
    <xdr:to>
      <xdr:col>0</xdr:col>
      <xdr:colOff>1710690</xdr:colOff>
      <xdr:row>0</xdr:row>
      <xdr:rowOff>381000</xdr:rowOff>
    </xdr:to>
    <xdr:pic>
      <xdr:nvPicPr>
        <xdr:cNvPr id="10" name="Picture 9" descr="http://www.wa.gov/esd/marketing/images/logos/jpeg/worksource_logo-2-color.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8151" y="19050"/>
          <a:ext cx="1462539"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459166</xdr:colOff>
      <xdr:row>1</xdr:row>
      <xdr:rowOff>9525</xdr:rowOff>
    </xdr:from>
    <xdr:to>
      <xdr:col>12</xdr:col>
      <xdr:colOff>97217</xdr:colOff>
      <xdr:row>10</xdr:row>
      <xdr:rowOff>218955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30542</xdr:colOff>
      <xdr:row>10</xdr:row>
      <xdr:rowOff>221191</xdr:rowOff>
    </xdr:from>
    <xdr:to>
      <xdr:col>4</xdr:col>
      <xdr:colOff>439059</xdr:colOff>
      <xdr:row>18</xdr:row>
      <xdr:rowOff>521758</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434183</xdr:colOff>
      <xdr:row>10</xdr:row>
      <xdr:rowOff>218578</xdr:rowOff>
    </xdr:from>
    <xdr:to>
      <xdr:col>8</xdr:col>
      <xdr:colOff>514616</xdr:colOff>
      <xdr:row>18</xdr:row>
      <xdr:rowOff>519145</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466725</xdr:colOff>
      <xdr:row>10</xdr:row>
      <xdr:rowOff>220740</xdr:rowOff>
    </xdr:from>
    <xdr:to>
      <xdr:col>12</xdr:col>
      <xdr:colOff>47625</xdr:colOff>
      <xdr:row>18</xdr:row>
      <xdr:rowOff>521307</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1786317</xdr:colOff>
      <xdr:row>1</xdr:row>
      <xdr:rowOff>95250</xdr:rowOff>
    </xdr:from>
    <xdr:to>
      <xdr:col>4</xdr:col>
      <xdr:colOff>1586292</xdr:colOff>
      <xdr:row>3</xdr:row>
      <xdr:rowOff>161925</xdr:rowOff>
    </xdr:to>
    <xdr:grpSp>
      <xdr:nvGrpSpPr>
        <xdr:cNvPr id="13" name="Group 12"/>
        <xdr:cNvGrpSpPr/>
      </xdr:nvGrpSpPr>
      <xdr:grpSpPr>
        <a:xfrm>
          <a:off x="1786317" y="554182"/>
          <a:ext cx="3601316" cy="716107"/>
          <a:chOff x="866775" y="542925"/>
          <a:chExt cx="2209800" cy="809625"/>
        </a:xfrm>
        <a:noFill/>
        <a:scene3d>
          <a:camera prst="orthographicFront">
            <a:rot lat="0" lon="0" rev="0"/>
          </a:camera>
          <a:lightRig rig="soft" dir="t">
            <a:rot lat="0" lon="0" rev="0"/>
          </a:lightRig>
        </a:scene3d>
      </xdr:grpSpPr>
      <xdr:sp macro="" textlink="">
        <xdr:nvSpPr>
          <xdr:cNvPr id="11" name="Rectangle 10"/>
          <xdr:cNvSpPr/>
        </xdr:nvSpPr>
        <xdr:spPr>
          <a:xfrm>
            <a:off x="866775" y="542925"/>
            <a:ext cx="2209800" cy="809625"/>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rtlCol="0" anchor="t"/>
          <a:lstStyle/>
          <a:p>
            <a:pPr algn="ctr"/>
            <a:r>
              <a:rPr lang="en-US" sz="1800" b="1">
                <a:solidFill>
                  <a:sysClr val="windowText" lastClr="000000"/>
                </a:solidFill>
              </a:rPr>
              <a:t>All</a:t>
            </a:r>
            <a:r>
              <a:rPr lang="en-US" sz="1800" b="1" baseline="0">
                <a:solidFill>
                  <a:sysClr val="windowText" lastClr="000000"/>
                </a:solidFill>
              </a:rPr>
              <a:t> Customers</a:t>
            </a:r>
            <a:endParaRPr lang="en-US" sz="1800" b="1">
              <a:solidFill>
                <a:sysClr val="windowText" lastClr="000000"/>
              </a:solidFill>
            </a:endParaRPr>
          </a:p>
        </xdr:txBody>
      </xdr:sp>
      <xdr:sp macro="" textlink="'State Data'!C5">
        <xdr:nvSpPr>
          <xdr:cNvPr id="12" name="TextBox 11"/>
          <xdr:cNvSpPr txBox="1"/>
        </xdr:nvSpPr>
        <xdr:spPr>
          <a:xfrm>
            <a:off x="1619251" y="933451"/>
            <a:ext cx="781049" cy="285749"/>
          </a:xfrm>
          <a:prstGeom prst="rect">
            <a:avLst/>
          </a:prstGeom>
          <a:ln>
            <a:noFill/>
          </a:ln>
        </xdr:spPr>
        <xdr:style>
          <a:lnRef idx="2">
            <a:schemeClr val="accent1"/>
          </a:lnRef>
          <a:fillRef idx="1">
            <a:schemeClr val="lt1"/>
          </a:fillRef>
          <a:effectRef idx="0">
            <a:schemeClr val="accent1"/>
          </a:effectRef>
          <a:fontRef idx="minor">
            <a:schemeClr val="dk1"/>
          </a:fontRef>
        </xdr:style>
        <xdr:txBody>
          <a:bodyPr vertOverflow="clip" wrap="square" rtlCol="0" anchor="ctr"/>
          <a:lstStyle/>
          <a:p>
            <a:pPr algn="ctr"/>
            <a:fld id="{48D843C9-2598-4BA4-A1C9-C6463C363833}" type="TxLink">
              <a:rPr lang="en-US" sz="1200" b="1" i="0" u="none" strike="noStrike">
                <a:solidFill>
                  <a:srgbClr val="000000"/>
                </a:solidFill>
                <a:latin typeface="Calibri"/>
                <a:cs typeface="Calibri"/>
              </a:rPr>
              <a:pPr algn="ctr"/>
              <a:t>183,307</a:t>
            </a:fld>
            <a:endParaRPr lang="en-US" sz="1100" b="1">
              <a:solidFill>
                <a:sysClr val="windowText" lastClr="000000"/>
              </a:solidFill>
            </a:endParaRPr>
          </a:p>
        </xdr:txBody>
      </xdr:sp>
    </xdr:grpSp>
    <xdr:clientData/>
  </xdr:twoCellAnchor>
  <xdr:twoCellAnchor>
    <xdr:from>
      <xdr:col>0</xdr:col>
      <xdr:colOff>168126</xdr:colOff>
      <xdr:row>1</xdr:row>
      <xdr:rowOff>154518</xdr:rowOff>
    </xdr:from>
    <xdr:to>
      <xdr:col>0</xdr:col>
      <xdr:colOff>1362984</xdr:colOff>
      <xdr:row>4</xdr:row>
      <xdr:rowOff>82550</xdr:rowOff>
    </xdr:to>
    <xdr:grpSp>
      <xdr:nvGrpSpPr>
        <xdr:cNvPr id="19" name="Group 18"/>
        <xdr:cNvGrpSpPr/>
      </xdr:nvGrpSpPr>
      <xdr:grpSpPr>
        <a:xfrm>
          <a:off x="168126" y="613450"/>
          <a:ext cx="1194858" cy="819918"/>
          <a:chOff x="3334038" y="421828"/>
          <a:chExt cx="1371599" cy="942975"/>
        </a:xfrm>
        <a:noFill/>
        <a:effectLst>
          <a:outerShdw blurRad="50800" dist="38100" dir="2700000" algn="tl" rotWithShape="0">
            <a:prstClr val="black">
              <a:alpha val="40000"/>
            </a:prstClr>
          </a:outerShdw>
        </a:effectLst>
        <a:scene3d>
          <a:camera prst="orthographicFront">
            <a:rot lat="0" lon="0" rev="0"/>
          </a:camera>
          <a:lightRig rig="contrasting" dir="t">
            <a:rot lat="0" lon="0" rev="1500000"/>
          </a:lightRig>
        </a:scene3d>
      </xdr:grpSpPr>
      <xdr:sp macro="" textlink="">
        <xdr:nvSpPr>
          <xdr:cNvPr id="17" name="Rectangle 16"/>
          <xdr:cNvSpPr/>
        </xdr:nvSpPr>
        <xdr:spPr>
          <a:xfrm>
            <a:off x="3334038" y="421828"/>
            <a:ext cx="1371599" cy="942975"/>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rtlCol="0" anchor="t"/>
          <a:lstStyle/>
          <a:p>
            <a:pPr algn="ctr"/>
            <a:r>
              <a:rPr lang="en-US" sz="1400" b="1">
                <a:solidFill>
                  <a:sysClr val="windowText" lastClr="000000"/>
                </a:solidFill>
              </a:rPr>
              <a:t>Self-Service Only</a:t>
            </a:r>
          </a:p>
        </xdr:txBody>
      </xdr:sp>
      <xdr:sp macro="" textlink="'State Data'!C7">
        <xdr:nvSpPr>
          <xdr:cNvPr id="18" name="TextBox 17"/>
          <xdr:cNvSpPr txBox="1"/>
        </xdr:nvSpPr>
        <xdr:spPr>
          <a:xfrm>
            <a:off x="3582838" y="955485"/>
            <a:ext cx="876300" cy="349704"/>
          </a:xfrm>
          <a:prstGeom prst="rect">
            <a:avLst/>
          </a:prstGeom>
          <a:ln>
            <a:noFill/>
          </a:ln>
        </xdr:spPr>
        <xdr:style>
          <a:lnRef idx="2">
            <a:schemeClr val="accent1"/>
          </a:lnRef>
          <a:fillRef idx="1">
            <a:schemeClr val="lt1"/>
          </a:fillRef>
          <a:effectRef idx="0">
            <a:schemeClr val="accent1"/>
          </a:effectRef>
          <a:fontRef idx="minor">
            <a:schemeClr val="dk1"/>
          </a:fontRef>
        </xdr:style>
        <xdr:txBody>
          <a:bodyPr vertOverflow="clip" wrap="square" rtlCol="0" anchor="ctr"/>
          <a:lstStyle/>
          <a:p>
            <a:pPr algn="ctr"/>
            <a:fld id="{B98F3F1A-4168-4F55-B12B-35B388E331D3}" type="TxLink">
              <a:rPr lang="en-US" sz="1200" b="1" i="0" u="none" strike="noStrike">
                <a:solidFill>
                  <a:srgbClr val="000000"/>
                </a:solidFill>
                <a:latin typeface="Calibri"/>
                <a:cs typeface="Calibri"/>
              </a:rPr>
              <a:pPr algn="ctr"/>
              <a:t>64,014</a:t>
            </a:fld>
            <a:endParaRPr lang="en-US" sz="1100" b="1">
              <a:solidFill>
                <a:sysClr val="windowText" lastClr="000000"/>
              </a:solidFill>
            </a:endParaRPr>
          </a:p>
        </xdr:txBody>
      </xdr:sp>
    </xdr:grpSp>
    <xdr:clientData/>
  </xdr:twoCellAnchor>
  <xdr:twoCellAnchor>
    <xdr:from>
      <xdr:col>0</xdr:col>
      <xdr:colOff>1362985</xdr:colOff>
      <xdr:row>2</xdr:row>
      <xdr:rowOff>42862</xdr:rowOff>
    </xdr:from>
    <xdr:to>
      <xdr:col>0</xdr:col>
      <xdr:colOff>1786318</xdr:colOff>
      <xdr:row>2</xdr:row>
      <xdr:rowOff>151871</xdr:rowOff>
    </xdr:to>
    <xdr:cxnSp macro="">
      <xdr:nvCxnSpPr>
        <xdr:cNvPr id="21" name="Straight Connector 20"/>
        <xdr:cNvCxnSpPr/>
      </xdr:nvCxnSpPr>
      <xdr:spPr>
        <a:xfrm rot="10800000" flipV="1">
          <a:off x="1362985" y="909637"/>
          <a:ext cx="423333" cy="109009"/>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1702711</xdr:colOff>
      <xdr:row>4</xdr:row>
      <xdr:rowOff>89961</xdr:rowOff>
    </xdr:from>
    <xdr:to>
      <xdr:col>4</xdr:col>
      <xdr:colOff>781961</xdr:colOff>
      <xdr:row>6</xdr:row>
      <xdr:rowOff>261411</xdr:rowOff>
    </xdr:to>
    <xdr:grpSp>
      <xdr:nvGrpSpPr>
        <xdr:cNvPr id="22" name="Group 21"/>
        <xdr:cNvGrpSpPr/>
      </xdr:nvGrpSpPr>
      <xdr:grpSpPr>
        <a:xfrm>
          <a:off x="1702711" y="1440779"/>
          <a:ext cx="2880591" cy="656359"/>
          <a:chOff x="751249" y="542925"/>
          <a:chExt cx="2209800" cy="809625"/>
        </a:xfrm>
        <a:noFill/>
        <a:scene3d>
          <a:camera prst="orthographicFront">
            <a:rot lat="0" lon="0" rev="0"/>
          </a:camera>
          <a:lightRig rig="soft" dir="t">
            <a:rot lat="0" lon="0" rev="0"/>
          </a:lightRig>
        </a:scene3d>
      </xdr:grpSpPr>
      <xdr:sp macro="" textlink="">
        <xdr:nvSpPr>
          <xdr:cNvPr id="23" name="Rectangle 22"/>
          <xdr:cNvSpPr/>
        </xdr:nvSpPr>
        <xdr:spPr>
          <a:xfrm>
            <a:off x="751249" y="542925"/>
            <a:ext cx="2209800" cy="809625"/>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rtlCol="0" anchor="t"/>
          <a:lstStyle/>
          <a:p>
            <a:pPr algn="ctr"/>
            <a:r>
              <a:rPr lang="en-US" sz="1400" b="1" baseline="0">
                <a:solidFill>
                  <a:sysClr val="windowText" lastClr="000000"/>
                </a:solidFill>
              </a:rPr>
              <a:t>Staff-Assisted  Customers</a:t>
            </a:r>
            <a:endParaRPr lang="en-US" sz="1400" b="1">
              <a:solidFill>
                <a:sysClr val="windowText" lastClr="000000"/>
              </a:solidFill>
            </a:endParaRPr>
          </a:p>
        </xdr:txBody>
      </xdr:sp>
      <xdr:sp macro="" textlink="'State Data'!C6">
        <xdr:nvSpPr>
          <xdr:cNvPr id="24" name="TextBox 23"/>
          <xdr:cNvSpPr txBox="1"/>
        </xdr:nvSpPr>
        <xdr:spPr>
          <a:xfrm>
            <a:off x="1253379" y="964195"/>
            <a:ext cx="1256822" cy="285749"/>
          </a:xfrm>
          <a:prstGeom prst="rect">
            <a:avLst/>
          </a:prstGeom>
          <a:ln>
            <a:noFill/>
          </a:ln>
        </xdr:spPr>
        <xdr:style>
          <a:lnRef idx="2">
            <a:schemeClr val="accent1"/>
          </a:lnRef>
          <a:fillRef idx="1">
            <a:schemeClr val="lt1"/>
          </a:fillRef>
          <a:effectRef idx="0">
            <a:schemeClr val="accent1"/>
          </a:effectRef>
          <a:fontRef idx="minor">
            <a:schemeClr val="dk1"/>
          </a:fontRef>
        </xdr:style>
        <xdr:txBody>
          <a:bodyPr vertOverflow="clip" wrap="square" rtlCol="0" anchor="ctr"/>
          <a:lstStyle/>
          <a:p>
            <a:pPr algn="ctr"/>
            <a:fld id="{D40E9D23-C018-4876-B1B4-C654AA7DF6CB}" type="TxLink">
              <a:rPr lang="en-US" sz="1200" b="1" i="0" u="none" strike="noStrike">
                <a:solidFill>
                  <a:srgbClr val="000000"/>
                </a:solidFill>
                <a:latin typeface="Calibri"/>
                <a:cs typeface="Calibri"/>
              </a:rPr>
              <a:pPr algn="ctr"/>
              <a:t>116,671</a:t>
            </a:fld>
            <a:endParaRPr lang="en-US" sz="1100" b="1">
              <a:solidFill>
                <a:sysClr val="windowText" lastClr="000000"/>
              </a:solidFill>
            </a:endParaRPr>
          </a:p>
        </xdr:txBody>
      </xdr:sp>
    </xdr:grpSp>
    <xdr:clientData/>
  </xdr:twoCellAnchor>
  <xdr:twoCellAnchor>
    <xdr:from>
      <xdr:col>2</xdr:col>
      <xdr:colOff>358624</xdr:colOff>
      <xdr:row>3</xdr:row>
      <xdr:rowOff>136528</xdr:rowOff>
    </xdr:from>
    <xdr:to>
      <xdr:col>2</xdr:col>
      <xdr:colOff>358627</xdr:colOff>
      <xdr:row>4</xdr:row>
      <xdr:rowOff>89961</xdr:rowOff>
    </xdr:to>
    <xdr:cxnSp macro="">
      <xdr:nvCxnSpPr>
        <xdr:cNvPr id="25" name="Straight Connector 24"/>
        <xdr:cNvCxnSpPr>
          <a:endCxn id="23" idx="0"/>
        </xdr:cNvCxnSpPr>
      </xdr:nvCxnSpPr>
      <xdr:spPr>
        <a:xfrm rot="16200000" flipH="1">
          <a:off x="2415497" y="1337205"/>
          <a:ext cx="191558" cy="3"/>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430593</xdr:colOff>
      <xdr:row>6</xdr:row>
      <xdr:rowOff>536573</xdr:rowOff>
    </xdr:from>
    <xdr:to>
      <xdr:col>1</xdr:col>
      <xdr:colOff>55943</xdr:colOff>
      <xdr:row>10</xdr:row>
      <xdr:rowOff>111125</xdr:rowOff>
    </xdr:to>
    <xdr:sp macro="" textlink="">
      <xdr:nvSpPr>
        <xdr:cNvPr id="37" name="Rectangle 36"/>
        <xdr:cNvSpPr/>
      </xdr:nvSpPr>
      <xdr:spPr>
        <a:xfrm>
          <a:off x="430593" y="2355848"/>
          <a:ext cx="1435100" cy="869952"/>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rtlCol="0" anchor="t"/>
        <a:lstStyle/>
        <a:p>
          <a:pPr algn="ctr"/>
          <a:r>
            <a:rPr lang="en-US" sz="1200" b="1" baseline="0">
              <a:solidFill>
                <a:sysClr val="windowText" lastClr="000000"/>
              </a:solidFill>
            </a:rPr>
            <a:t>Core Only </a:t>
          </a:r>
          <a:endParaRPr lang="en-US" sz="1200" b="1">
            <a:solidFill>
              <a:sysClr val="windowText" lastClr="000000"/>
            </a:solidFill>
          </a:endParaRPr>
        </a:p>
      </xdr:txBody>
    </xdr:sp>
    <xdr:clientData/>
  </xdr:twoCellAnchor>
  <xdr:twoCellAnchor>
    <xdr:from>
      <xdr:col>0</xdr:col>
      <xdr:colOff>716343</xdr:colOff>
      <xdr:row>8</xdr:row>
      <xdr:rowOff>180973</xdr:rowOff>
    </xdr:from>
    <xdr:to>
      <xdr:col>0</xdr:col>
      <xdr:colOff>1630743</xdr:colOff>
      <xdr:row>9</xdr:row>
      <xdr:rowOff>200022</xdr:rowOff>
    </xdr:to>
    <xdr:sp macro="" textlink="'State Data'!C8">
      <xdr:nvSpPr>
        <xdr:cNvPr id="38" name="TextBox 37"/>
        <xdr:cNvSpPr txBox="1"/>
      </xdr:nvSpPr>
      <xdr:spPr>
        <a:xfrm>
          <a:off x="716343" y="2819398"/>
          <a:ext cx="914400" cy="257174"/>
        </a:xfrm>
        <a:prstGeom prst="rect">
          <a:avLst/>
        </a:prstGeom>
        <a:noFill/>
        <a:ln w="9525" cmpd="sng">
          <a:noFill/>
        </a:ln>
        <a:effectLst/>
        <a:scene3d>
          <a:camera prst="orthographicFront">
            <a:rot lat="0" lon="0" rev="0"/>
          </a:camera>
          <a:lightRig rig="soft" dir="t">
            <a:rot lat="0" lon="0" rev="0"/>
          </a:lightRig>
        </a:scene3d>
        <a:sp3d contourW="44450" prstMaterial="matte">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fld id="{28455471-81CD-4775-9FC6-F8CB8E6CA167}" type="TxLink">
            <a:rPr lang="en-US" sz="1200" b="1" i="0" u="none" strike="noStrike">
              <a:solidFill>
                <a:srgbClr val="000000"/>
              </a:solidFill>
              <a:latin typeface="Calibri"/>
              <a:cs typeface="Calibri"/>
            </a:rPr>
            <a:pPr algn="ctr"/>
            <a:t>102,821</a:t>
          </a:fld>
          <a:endParaRPr lang="en-US" sz="1300" b="1">
            <a:solidFill>
              <a:sysClr val="windowText" lastClr="000000"/>
            </a:solidFill>
          </a:endParaRPr>
        </a:p>
      </xdr:txBody>
    </xdr:sp>
    <xdr:clientData/>
  </xdr:twoCellAnchor>
  <xdr:twoCellAnchor>
    <xdr:from>
      <xdr:col>4</xdr:col>
      <xdr:colOff>475041</xdr:colOff>
      <xdr:row>6</xdr:row>
      <xdr:rowOff>551389</xdr:rowOff>
    </xdr:from>
    <xdr:to>
      <xdr:col>6</xdr:col>
      <xdr:colOff>266699</xdr:colOff>
      <xdr:row>10</xdr:row>
      <xdr:rowOff>130175</xdr:rowOff>
    </xdr:to>
    <xdr:sp macro="" textlink="">
      <xdr:nvSpPr>
        <xdr:cNvPr id="41" name="Rectangle 40"/>
        <xdr:cNvSpPr/>
      </xdr:nvSpPr>
      <xdr:spPr>
        <a:xfrm>
          <a:off x="4265991" y="2370664"/>
          <a:ext cx="1991933" cy="874186"/>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rtlCol="0" anchor="t"/>
        <a:lstStyle/>
        <a:p>
          <a:pPr algn="l"/>
          <a:r>
            <a:rPr lang="en-US" sz="1200" b="1" baseline="0">
              <a:solidFill>
                <a:sysClr val="windowText" lastClr="000000"/>
              </a:solidFill>
            </a:rPr>
            <a:t>          Training</a:t>
          </a:r>
        </a:p>
        <a:p>
          <a:pPr algn="l"/>
          <a:r>
            <a:rPr lang="en-US" sz="1200" b="1" baseline="0">
              <a:solidFill>
                <a:sysClr val="windowText" lastClr="000000"/>
              </a:solidFill>
            </a:rPr>
            <a:t>               New:</a:t>
          </a:r>
        </a:p>
        <a:p>
          <a:pPr algn="l"/>
          <a:r>
            <a:rPr lang="en-US" sz="1200" b="1" baseline="0">
              <a:solidFill>
                <a:sysClr val="windowText" lastClr="000000"/>
              </a:solidFill>
            </a:rPr>
            <a:t>        Ongoing:</a:t>
          </a:r>
        </a:p>
        <a:p>
          <a:pPr algn="l"/>
          <a:r>
            <a:rPr lang="en-US" sz="1200" b="1" baseline="0">
              <a:solidFill>
                <a:sysClr val="windowText" lastClr="000000"/>
              </a:solidFill>
            </a:rPr>
            <a:t>      Complete:</a:t>
          </a:r>
        </a:p>
        <a:p>
          <a:pPr algn="ctr"/>
          <a:endParaRPr lang="en-US" sz="1200" b="1">
            <a:solidFill>
              <a:sysClr val="windowText" lastClr="000000"/>
            </a:solidFill>
          </a:endParaRPr>
        </a:p>
      </xdr:txBody>
    </xdr:sp>
    <xdr:clientData/>
  </xdr:twoCellAnchor>
  <xdr:twoCellAnchor>
    <xdr:from>
      <xdr:col>4</xdr:col>
      <xdr:colOff>1564068</xdr:colOff>
      <xdr:row>8</xdr:row>
      <xdr:rowOff>130176</xdr:rowOff>
    </xdr:from>
    <xdr:to>
      <xdr:col>6</xdr:col>
      <xdr:colOff>142875</xdr:colOff>
      <xdr:row>9</xdr:row>
      <xdr:rowOff>114300</xdr:rowOff>
    </xdr:to>
    <xdr:sp macro="" textlink="'State Data'!C11">
      <xdr:nvSpPr>
        <xdr:cNvPr id="42" name="TextBox 41"/>
        <xdr:cNvSpPr txBox="1"/>
      </xdr:nvSpPr>
      <xdr:spPr>
        <a:xfrm>
          <a:off x="5355018" y="2768601"/>
          <a:ext cx="779082" cy="222249"/>
        </a:xfrm>
        <a:prstGeom prst="rect">
          <a:avLst/>
        </a:prstGeom>
        <a:noFill/>
        <a:ln w="9525" cmpd="sng">
          <a:noFill/>
        </a:ln>
        <a:effectLst/>
        <a:scene3d>
          <a:camera prst="orthographicFront">
            <a:rot lat="0" lon="0" rev="0"/>
          </a:camera>
          <a:lightRig rig="soft" dir="t">
            <a:rot lat="0" lon="0" rev="0"/>
          </a:lightRig>
        </a:scene3d>
        <a:sp3d contourW="44450" prstMaterial="matte">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fld id="{2E0B5390-0D93-43C5-8F78-3D1F88345809}" type="TxLink">
            <a:rPr lang="en-US" sz="1200" b="1" i="0" u="none" strike="noStrike">
              <a:solidFill>
                <a:srgbClr val="000000"/>
              </a:solidFill>
              <a:latin typeface="Calibri"/>
              <a:cs typeface="Calibri"/>
            </a:rPr>
            <a:pPr algn="ctr"/>
            <a:t>8,120</a:t>
          </a:fld>
          <a:endParaRPr lang="en-US" sz="1300" b="1">
            <a:solidFill>
              <a:sysClr val="windowText" lastClr="000000"/>
            </a:solidFill>
          </a:endParaRPr>
        </a:p>
      </xdr:txBody>
    </xdr:sp>
    <xdr:clientData/>
  </xdr:twoCellAnchor>
  <xdr:twoCellAnchor>
    <xdr:from>
      <xdr:col>1</xdr:col>
      <xdr:colOff>268667</xdr:colOff>
      <xdr:row>6</xdr:row>
      <xdr:rowOff>546098</xdr:rowOff>
    </xdr:from>
    <xdr:to>
      <xdr:col>4</xdr:col>
      <xdr:colOff>259142</xdr:colOff>
      <xdr:row>10</xdr:row>
      <xdr:rowOff>130175</xdr:rowOff>
    </xdr:to>
    <xdr:sp macro="" textlink="">
      <xdr:nvSpPr>
        <xdr:cNvPr id="39" name="Rectangle 38"/>
        <xdr:cNvSpPr/>
      </xdr:nvSpPr>
      <xdr:spPr>
        <a:xfrm>
          <a:off x="2078417" y="2365373"/>
          <a:ext cx="1971675" cy="879477"/>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rtlCol="0" anchor="t"/>
        <a:lstStyle/>
        <a:p>
          <a:pPr algn="ctr"/>
          <a:r>
            <a:rPr lang="en-US" sz="1200" b="1" baseline="0">
              <a:solidFill>
                <a:sysClr val="windowText" lastClr="000000"/>
              </a:solidFill>
            </a:rPr>
            <a:t>Core/Intensive Only</a:t>
          </a:r>
          <a:endParaRPr lang="en-US" sz="1200" b="1">
            <a:solidFill>
              <a:sysClr val="windowText" lastClr="000000"/>
            </a:solidFill>
          </a:endParaRPr>
        </a:p>
      </xdr:txBody>
    </xdr:sp>
    <xdr:clientData/>
  </xdr:twoCellAnchor>
  <xdr:twoCellAnchor>
    <xdr:from>
      <xdr:col>4</xdr:col>
      <xdr:colOff>1585234</xdr:colOff>
      <xdr:row>7</xdr:row>
      <xdr:rowOff>192618</xdr:rowOff>
    </xdr:from>
    <xdr:to>
      <xdr:col>6</xdr:col>
      <xdr:colOff>114300</xdr:colOff>
      <xdr:row>8</xdr:row>
      <xdr:rowOff>142875</xdr:rowOff>
    </xdr:to>
    <xdr:sp macro="" textlink="'State Data'!C10">
      <xdr:nvSpPr>
        <xdr:cNvPr id="68" name="TextBox 67"/>
        <xdr:cNvSpPr txBox="1"/>
      </xdr:nvSpPr>
      <xdr:spPr>
        <a:xfrm>
          <a:off x="5376184" y="2583393"/>
          <a:ext cx="729341" cy="197907"/>
        </a:xfrm>
        <a:prstGeom prst="rect">
          <a:avLst/>
        </a:prstGeom>
        <a:noFill/>
        <a:ln w="9525" cmpd="sng">
          <a:noFill/>
        </a:ln>
        <a:effectLst/>
        <a:scene3d>
          <a:camera prst="orthographicFront">
            <a:rot lat="0" lon="0" rev="0"/>
          </a:camera>
          <a:lightRig rig="soft" dir="t">
            <a:rot lat="0" lon="0" rev="0"/>
          </a:lightRig>
        </a:scene3d>
        <a:sp3d contourW="44450" prstMaterial="matte">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fld id="{F66AFEEE-A0F4-4521-8899-3190FBA9DA5D}" type="TxLink">
            <a:rPr lang="en-US" sz="1200" b="1" i="0" u="none" strike="noStrike">
              <a:solidFill>
                <a:srgbClr val="000000"/>
              </a:solidFill>
              <a:latin typeface="Calibri"/>
              <a:cs typeface="Calibri"/>
            </a:rPr>
            <a:pPr algn="ctr"/>
            <a:t>2,932</a:t>
          </a:fld>
          <a:endParaRPr lang="en-US" sz="1300" b="1">
            <a:solidFill>
              <a:sysClr val="windowText" lastClr="000000"/>
            </a:solidFill>
          </a:endParaRPr>
        </a:p>
      </xdr:txBody>
    </xdr:sp>
    <xdr:clientData/>
  </xdr:twoCellAnchor>
  <xdr:twoCellAnchor>
    <xdr:from>
      <xdr:col>4</xdr:col>
      <xdr:colOff>781961</xdr:colOff>
      <xdr:row>5</xdr:row>
      <xdr:rowOff>175687</xdr:rowOff>
    </xdr:from>
    <xdr:to>
      <xdr:col>5</xdr:col>
      <xdr:colOff>506792</xdr:colOff>
      <xdr:row>5</xdr:row>
      <xdr:rowOff>178859</xdr:rowOff>
    </xdr:to>
    <xdr:cxnSp macro="">
      <xdr:nvCxnSpPr>
        <xdr:cNvPr id="33" name="Straight Arrow Connector 32"/>
        <xdr:cNvCxnSpPr/>
      </xdr:nvCxnSpPr>
      <xdr:spPr>
        <a:xfrm>
          <a:off x="4572911" y="1756837"/>
          <a:ext cx="1382181" cy="3172"/>
        </a:xfrm>
        <a:prstGeom prst="straightConnector1">
          <a:avLst/>
        </a:prstGeom>
        <a:ln w="635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1481518</xdr:colOff>
      <xdr:row>9</xdr:row>
      <xdr:rowOff>102659</xdr:rowOff>
    </xdr:from>
    <xdr:to>
      <xdr:col>6</xdr:col>
      <xdr:colOff>171450</xdr:colOff>
      <xdr:row>10</xdr:row>
      <xdr:rowOff>76200</xdr:rowOff>
    </xdr:to>
    <xdr:sp macro="" textlink="'State Data'!C12">
      <xdr:nvSpPr>
        <xdr:cNvPr id="34" name="TextBox 33"/>
        <xdr:cNvSpPr txBox="1"/>
      </xdr:nvSpPr>
      <xdr:spPr>
        <a:xfrm>
          <a:off x="5272468" y="2979209"/>
          <a:ext cx="890207" cy="211666"/>
        </a:xfrm>
        <a:prstGeom prst="rect">
          <a:avLst/>
        </a:prstGeom>
        <a:noFill/>
        <a:ln w="9525" cmpd="sng">
          <a:noFill/>
        </a:ln>
        <a:effectLst/>
        <a:scene3d>
          <a:camera prst="orthographicFront">
            <a:rot lat="0" lon="0" rev="0"/>
          </a:camera>
          <a:lightRig rig="soft" dir="t">
            <a:rot lat="0" lon="0" rev="0"/>
          </a:lightRig>
        </a:scene3d>
        <a:sp3d contourW="44450" prstMaterial="matte">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fld id="{140AD1E7-980C-4674-B379-13A3BC74F818}" type="TxLink">
            <a:rPr lang="en-US" sz="1200" b="1" i="0" u="none" strike="noStrike">
              <a:solidFill>
                <a:srgbClr val="000000"/>
              </a:solidFill>
              <a:latin typeface="Calibri"/>
              <a:cs typeface="Calibri"/>
            </a:rPr>
            <a:pPr algn="ctr"/>
            <a:t>2,471</a:t>
          </a:fld>
          <a:endParaRPr lang="en-US" sz="1300" b="1">
            <a:solidFill>
              <a:sysClr val="windowText" lastClr="000000"/>
            </a:solidFill>
          </a:endParaRPr>
        </a:p>
      </xdr:txBody>
    </xdr:sp>
    <xdr:clientData/>
  </xdr:twoCellAnchor>
  <xdr:twoCellAnchor>
    <xdr:from>
      <xdr:col>2</xdr:col>
      <xdr:colOff>19050</xdr:colOff>
      <xdr:row>8</xdr:row>
      <xdr:rowOff>176741</xdr:rowOff>
    </xdr:from>
    <xdr:to>
      <xdr:col>4</xdr:col>
      <xdr:colOff>123825</xdr:colOff>
      <xdr:row>9</xdr:row>
      <xdr:rowOff>190500</xdr:rowOff>
    </xdr:to>
    <xdr:sp macro="" textlink="'State Data'!C9">
      <xdr:nvSpPr>
        <xdr:cNvPr id="40" name="TextBox 39"/>
        <xdr:cNvSpPr txBox="1"/>
      </xdr:nvSpPr>
      <xdr:spPr>
        <a:xfrm>
          <a:off x="2171700" y="2815166"/>
          <a:ext cx="1743075" cy="251884"/>
        </a:xfrm>
        <a:prstGeom prst="rect">
          <a:avLst/>
        </a:prstGeom>
        <a:noFill/>
        <a:ln w="9525" cmpd="sng">
          <a:noFill/>
        </a:ln>
        <a:effectLst/>
        <a:scene3d>
          <a:camera prst="orthographicFront">
            <a:rot lat="0" lon="0" rev="0"/>
          </a:camera>
          <a:lightRig rig="soft" dir="t">
            <a:rot lat="0" lon="0" rev="0"/>
          </a:lightRig>
        </a:scene3d>
        <a:sp3d contourW="44450" prstMaterial="matte">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fld id="{A10D5E0D-CBC3-4B0D-B45E-CBEB007849C5}" type="TxLink">
            <a:rPr lang="en-US" sz="1200" b="1" i="0" u="none" strike="noStrike">
              <a:solidFill>
                <a:srgbClr val="000000"/>
              </a:solidFill>
              <a:latin typeface="Calibri"/>
              <a:cs typeface="Calibri"/>
            </a:rPr>
            <a:pPr algn="ctr"/>
            <a:t>10,921</a:t>
          </a:fld>
          <a:endParaRPr lang="en-US" sz="1300" b="1">
            <a:solidFill>
              <a:sysClr val="windowText" lastClr="000000"/>
            </a:solidFill>
          </a:endParaRPr>
        </a:p>
      </xdr:txBody>
    </xdr:sp>
    <xdr:clientData/>
  </xdr:twoCellAnchor>
  <xdr:twoCellAnchor>
    <xdr:from>
      <xdr:col>2</xdr:col>
      <xdr:colOff>307975</xdr:colOff>
      <xdr:row>6</xdr:row>
      <xdr:rowOff>266699</xdr:rowOff>
    </xdr:from>
    <xdr:to>
      <xdr:col>2</xdr:col>
      <xdr:colOff>311151</xdr:colOff>
      <xdr:row>6</xdr:row>
      <xdr:rowOff>546098</xdr:rowOff>
    </xdr:to>
    <xdr:cxnSp macro="">
      <xdr:nvCxnSpPr>
        <xdr:cNvPr id="32" name="Straight Connector 31"/>
        <xdr:cNvCxnSpPr/>
      </xdr:nvCxnSpPr>
      <xdr:spPr>
        <a:xfrm rot="5400000">
          <a:off x="2678113" y="2239961"/>
          <a:ext cx="279399" cy="3176"/>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1270000</xdr:colOff>
      <xdr:row>6</xdr:row>
      <xdr:rowOff>361953</xdr:rowOff>
    </xdr:from>
    <xdr:to>
      <xdr:col>4</xdr:col>
      <xdr:colOff>1270000</xdr:colOff>
      <xdr:row>6</xdr:row>
      <xdr:rowOff>544833</xdr:rowOff>
    </xdr:to>
    <xdr:cxnSp macro="">
      <xdr:nvCxnSpPr>
        <xdr:cNvPr id="44" name="Straight Connector 43"/>
        <xdr:cNvCxnSpPr/>
      </xdr:nvCxnSpPr>
      <xdr:spPr>
        <a:xfrm rot="5400000">
          <a:off x="4429760" y="2288543"/>
          <a:ext cx="182880" cy="0"/>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1098550</xdr:colOff>
      <xdr:row>6</xdr:row>
      <xdr:rowOff>349253</xdr:rowOff>
    </xdr:from>
    <xdr:to>
      <xdr:col>0</xdr:col>
      <xdr:colOff>1098550</xdr:colOff>
      <xdr:row>6</xdr:row>
      <xdr:rowOff>532133</xdr:rowOff>
    </xdr:to>
    <xdr:cxnSp macro="">
      <xdr:nvCxnSpPr>
        <xdr:cNvPr id="46" name="Straight Connector 45"/>
        <xdr:cNvCxnSpPr/>
      </xdr:nvCxnSpPr>
      <xdr:spPr>
        <a:xfrm rot="5400000">
          <a:off x="1007110" y="2275843"/>
          <a:ext cx="182880" cy="0"/>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1089025</xdr:colOff>
      <xdr:row>6</xdr:row>
      <xdr:rowOff>352427</xdr:rowOff>
    </xdr:from>
    <xdr:to>
      <xdr:col>4</xdr:col>
      <xdr:colOff>1285875</xdr:colOff>
      <xdr:row>6</xdr:row>
      <xdr:rowOff>352427</xdr:rowOff>
    </xdr:to>
    <xdr:cxnSp macro="">
      <xdr:nvCxnSpPr>
        <xdr:cNvPr id="47" name="Straight Connector 46"/>
        <xdr:cNvCxnSpPr/>
      </xdr:nvCxnSpPr>
      <xdr:spPr>
        <a:xfrm rot="10800000">
          <a:off x="1089025" y="2171702"/>
          <a:ext cx="3987800" cy="0"/>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476250</xdr:colOff>
      <xdr:row>12</xdr:row>
      <xdr:rowOff>180974</xdr:rowOff>
    </xdr:from>
    <xdr:to>
      <xdr:col>11</xdr:col>
      <xdr:colOff>542925</xdr:colOff>
      <xdr:row>15</xdr:row>
      <xdr:rowOff>357716</xdr:rowOff>
    </xdr:to>
    <xdr:graphicFrame macro="">
      <xdr:nvGraphicFramePr>
        <xdr:cNvPr id="31" name="Chart 3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404808</xdr:colOff>
      <xdr:row>11</xdr:row>
      <xdr:rowOff>88103</xdr:rowOff>
    </xdr:from>
    <xdr:to>
      <xdr:col>11</xdr:col>
      <xdr:colOff>1285875</xdr:colOff>
      <xdr:row>18</xdr:row>
      <xdr:rowOff>11908</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357188</xdr:colOff>
      <xdr:row>1</xdr:row>
      <xdr:rowOff>140496</xdr:rowOff>
    </xdr:from>
    <xdr:to>
      <xdr:col>11</xdr:col>
      <xdr:colOff>1251110</xdr:colOff>
      <xdr:row>10</xdr:row>
      <xdr:rowOff>371954</xdr:rowOff>
    </xdr:to>
    <xdr:graphicFrame macro="">
      <xdr:nvGraphicFramePr>
        <xdr:cNvPr id="1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381000</xdr:colOff>
      <xdr:row>0</xdr:row>
      <xdr:rowOff>42334</xdr:rowOff>
    </xdr:from>
    <xdr:to>
      <xdr:col>1</xdr:col>
      <xdr:colOff>910409</xdr:colOff>
      <xdr:row>0</xdr:row>
      <xdr:rowOff>493168</xdr:rowOff>
    </xdr:to>
    <xdr:pic>
      <xdr:nvPicPr>
        <xdr:cNvPr id="11" name="Picture 10" descr="http://www.wa.gov/esd/marketing/images/logos/jpeg/worksource_logo-2-color.jp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81000" y="42334"/>
          <a:ext cx="1587742" cy="4508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23811</xdr:colOff>
      <xdr:row>1</xdr:row>
      <xdr:rowOff>125675</xdr:rowOff>
    </xdr:from>
    <xdr:to>
      <xdr:col>5</xdr:col>
      <xdr:colOff>1578429</xdr:colOff>
      <xdr:row>18</xdr:row>
      <xdr:rowOff>122464</xdr:rowOff>
    </xdr:to>
    <xdr:graphicFrame macro="">
      <xdr:nvGraphicFramePr>
        <xdr:cNvPr id="10"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37</xdr:row>
      <xdr:rowOff>0</xdr:rowOff>
    </xdr:from>
    <xdr:to>
      <xdr:col>1</xdr:col>
      <xdr:colOff>688392</xdr:colOff>
      <xdr:row>44</xdr:row>
      <xdr:rowOff>76732</xdr:rowOff>
    </xdr:to>
    <xdr:pic>
      <xdr:nvPicPr>
        <xdr:cNvPr id="2" name="table"/>
        <xdr:cNvPicPr>
          <a:picLocks noChangeAspect="1"/>
        </xdr:cNvPicPr>
      </xdr:nvPicPr>
      <xdr:blipFill>
        <a:blip xmlns:r="http://schemas.openxmlformats.org/officeDocument/2006/relationships" r:embed="rId1" cstate="print"/>
        <a:stretch>
          <a:fillRect/>
        </a:stretch>
      </xdr:blipFill>
      <xdr:spPr>
        <a:xfrm>
          <a:off x="1071563" y="20335875"/>
          <a:ext cx="2438611" cy="1743607"/>
        </a:xfrm>
        <a:prstGeom prst="rect">
          <a:avLst/>
        </a:prstGeom>
      </xdr:spPr>
    </xdr:pic>
    <xdr:clientData/>
  </xdr:twoCellAnchor>
  <xdr:twoCellAnchor editAs="oneCell">
    <xdr:from>
      <xdr:col>0</xdr:col>
      <xdr:colOff>2447925</xdr:colOff>
      <xdr:row>37</xdr:row>
      <xdr:rowOff>0</xdr:rowOff>
    </xdr:from>
    <xdr:to>
      <xdr:col>1</xdr:col>
      <xdr:colOff>4050476</xdr:colOff>
      <xdr:row>60</xdr:row>
      <xdr:rowOff>150221</xdr:rowOff>
    </xdr:to>
    <xdr:pic>
      <xdr:nvPicPr>
        <xdr:cNvPr id="3" name="table"/>
        <xdr:cNvPicPr>
          <a:picLocks noChangeAspect="1"/>
        </xdr:cNvPicPr>
      </xdr:nvPicPr>
      <xdr:blipFill>
        <a:blip xmlns:r="http://schemas.openxmlformats.org/officeDocument/2006/relationships" r:embed="rId2" cstate="print"/>
        <a:stretch>
          <a:fillRect/>
        </a:stretch>
      </xdr:blipFill>
      <xdr:spPr>
        <a:xfrm>
          <a:off x="3519488" y="20335875"/>
          <a:ext cx="4048095" cy="5627096"/>
        </a:xfrm>
        <a:prstGeom prst="rect">
          <a:avLst/>
        </a:prstGeom>
      </xdr:spPr>
    </xdr:pic>
    <xdr:clientData/>
  </xdr:twoCellAnchor>
  <xdr:twoCellAnchor editAs="oneCell">
    <xdr:from>
      <xdr:col>0</xdr:col>
      <xdr:colOff>0</xdr:colOff>
      <xdr:row>44</xdr:row>
      <xdr:rowOff>84597</xdr:rowOff>
    </xdr:from>
    <xdr:to>
      <xdr:col>1</xdr:col>
      <xdr:colOff>682296</xdr:colOff>
      <xdr:row>53</xdr:row>
      <xdr:rowOff>227670</xdr:rowOff>
    </xdr:to>
    <xdr:pic>
      <xdr:nvPicPr>
        <xdr:cNvPr id="4" name="table"/>
        <xdr:cNvPicPr>
          <a:picLocks noChangeAspect="1"/>
        </xdr:cNvPicPr>
      </xdr:nvPicPr>
      <xdr:blipFill>
        <a:blip xmlns:r="http://schemas.openxmlformats.org/officeDocument/2006/relationships" r:embed="rId3" cstate="print"/>
        <a:stretch>
          <a:fillRect/>
        </a:stretch>
      </xdr:blipFill>
      <xdr:spPr>
        <a:xfrm>
          <a:off x="1071563" y="22087347"/>
          <a:ext cx="2432515" cy="2286198"/>
        </a:xfrm>
        <a:prstGeom prst="rect">
          <a:avLst/>
        </a:prstGeom>
      </xdr:spPr>
    </xdr:pic>
    <xdr:clientData/>
  </xdr:twoCellAnchor>
  <xdr:twoCellAnchor editAs="oneCell">
    <xdr:from>
      <xdr:col>0</xdr:col>
      <xdr:colOff>0</xdr:colOff>
      <xdr:row>53</xdr:row>
      <xdr:rowOff>228603</xdr:rowOff>
    </xdr:from>
    <xdr:to>
      <xdr:col>1</xdr:col>
      <xdr:colOff>682296</xdr:colOff>
      <xdr:row>60</xdr:row>
      <xdr:rowOff>171211</xdr:rowOff>
    </xdr:to>
    <xdr:pic>
      <xdr:nvPicPr>
        <xdr:cNvPr id="5" name="table"/>
        <xdr:cNvPicPr>
          <a:picLocks noChangeAspect="1"/>
        </xdr:cNvPicPr>
      </xdr:nvPicPr>
      <xdr:blipFill>
        <a:blip xmlns:r="http://schemas.openxmlformats.org/officeDocument/2006/relationships" r:embed="rId4" cstate="print"/>
        <a:stretch>
          <a:fillRect/>
        </a:stretch>
      </xdr:blipFill>
      <xdr:spPr>
        <a:xfrm>
          <a:off x="1071563" y="24374478"/>
          <a:ext cx="2432515" cy="160948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9</xdr:col>
          <xdr:colOff>285750</xdr:colOff>
          <xdr:row>0</xdr:row>
          <xdr:rowOff>28575</xdr:rowOff>
        </xdr:from>
        <xdr:to>
          <xdr:col>17</xdr:col>
          <xdr:colOff>695325</xdr:colOff>
          <xdr:row>19</xdr:row>
          <xdr:rowOff>371475</xdr:rowOff>
        </xdr:to>
        <xdr:sp macro="" textlink="">
          <xdr:nvSpPr>
            <xdr:cNvPr id="7170" name="Object 2" hidden="1">
              <a:extLst>
                <a:ext uri="{63B3BB69-23CF-44E3-9099-C40C66FF867C}">
                  <a14:compatExt spid="_x0000_s7170"/>
                </a:ext>
              </a:extLst>
            </xdr:cNvPr>
            <xdr:cNvSpPr/>
          </xdr:nvSpPr>
          <xdr:spPr>
            <a:xfrm>
              <a:off x="0" y="0"/>
              <a:ext cx="0" cy="0"/>
            </a:xfrm>
            <a:prstGeom prst="rect">
              <a:avLst/>
            </a:prstGeom>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6</xdr:col>
      <xdr:colOff>1104900</xdr:colOff>
      <xdr:row>36</xdr:row>
      <xdr:rowOff>76200</xdr:rowOff>
    </xdr:from>
    <xdr:to>
      <xdr:col>8</xdr:col>
      <xdr:colOff>1704975</xdr:colOff>
      <xdr:row>50</xdr:row>
      <xdr:rowOff>177800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238124</xdr:colOff>
      <xdr:row>0</xdr:row>
      <xdr:rowOff>123824</xdr:rowOff>
    </xdr:from>
    <xdr:to>
      <xdr:col>7</xdr:col>
      <xdr:colOff>85725</xdr:colOff>
      <xdr:row>15</xdr:row>
      <xdr:rowOff>85724</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581024</xdr:colOff>
      <xdr:row>0</xdr:row>
      <xdr:rowOff>180974</xdr:rowOff>
    </xdr:from>
    <xdr:to>
      <xdr:col>14</xdr:col>
      <xdr:colOff>333375</xdr:colOff>
      <xdr:row>20</xdr:row>
      <xdr:rowOff>133350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238125</xdr:colOff>
      <xdr:row>15</xdr:row>
      <xdr:rowOff>152400</xdr:rowOff>
    </xdr:from>
    <xdr:to>
      <xdr:col>7</xdr:col>
      <xdr:colOff>123825</xdr:colOff>
      <xdr:row>31</xdr:row>
      <xdr:rowOff>171450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lauswork\develop\1999\YT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mes"/>
      <sheetName val="Seas"/>
      <sheetName val="LastLink"/>
      <sheetName val="LinkToLss"/>
    </sheetNames>
    <sheetDataSet>
      <sheetData sheetId="0" refreshError="1"/>
      <sheetData sheetId="1" refreshError="1"/>
      <sheetData sheetId="2" refreshError="1"/>
      <sheetData sheetId="3">
        <row r="2">
          <cell r="B2" t="str">
            <v>ST5300001</v>
          </cell>
          <cell r="C2">
            <v>3140760</v>
          </cell>
          <cell r="D2">
            <v>344250</v>
          </cell>
          <cell r="E2">
            <v>3485010</v>
          </cell>
          <cell r="F2">
            <v>9.9</v>
          </cell>
          <cell r="G2">
            <v>3485010</v>
          </cell>
          <cell r="H2">
            <v>3140760</v>
          </cell>
          <cell r="I2">
            <v>344250</v>
          </cell>
          <cell r="J2">
            <v>9.9</v>
          </cell>
        </row>
        <row r="3">
          <cell r="B3" t="str">
            <v>ST5300002</v>
          </cell>
          <cell r="C3">
            <v>3150690</v>
          </cell>
          <cell r="D3">
            <v>346680</v>
          </cell>
          <cell r="E3">
            <v>3497370</v>
          </cell>
          <cell r="F3">
            <v>9.9</v>
          </cell>
          <cell r="G3">
            <v>3491190</v>
          </cell>
          <cell r="H3">
            <v>3145720</v>
          </cell>
          <cell r="I3">
            <v>345470</v>
          </cell>
          <cell r="J3">
            <v>9.8954067387614622</v>
          </cell>
        </row>
        <row r="4">
          <cell r="B4" t="str">
            <v>ST5300003</v>
          </cell>
          <cell r="C4">
            <v>3153460</v>
          </cell>
          <cell r="D4">
            <v>343260</v>
          </cell>
          <cell r="E4">
            <v>3496720</v>
          </cell>
          <cell r="F4">
            <v>9.8000000000000007</v>
          </cell>
          <cell r="G4">
            <v>3493040</v>
          </cell>
          <cell r="H4">
            <v>3148300</v>
          </cell>
          <cell r="I4">
            <v>344730</v>
          </cell>
          <cell r="J4">
            <v>9.8691510765992678</v>
          </cell>
        </row>
        <row r="5">
          <cell r="B5" t="str">
            <v>ST5300004</v>
          </cell>
          <cell r="C5">
            <v>3144520</v>
          </cell>
          <cell r="D5">
            <v>312230</v>
          </cell>
          <cell r="E5">
            <v>3456750</v>
          </cell>
          <cell r="F5">
            <v>9</v>
          </cell>
          <cell r="G5">
            <v>3483960</v>
          </cell>
          <cell r="H5">
            <v>3147360</v>
          </cell>
          <cell r="I5">
            <v>336610</v>
          </cell>
          <cell r="J5">
            <v>9.6615945470737827</v>
          </cell>
        </row>
        <row r="6">
          <cell r="B6" t="str">
            <v>ST5300005</v>
          </cell>
          <cell r="C6">
            <v>3164270</v>
          </cell>
          <cell r="D6">
            <v>311630</v>
          </cell>
          <cell r="E6">
            <v>3475900</v>
          </cell>
          <cell r="F6">
            <v>9</v>
          </cell>
          <cell r="G6">
            <v>3482350</v>
          </cell>
          <cell r="H6">
            <v>3150740</v>
          </cell>
          <cell r="I6">
            <v>331610</v>
          </cell>
          <cell r="J6">
            <v>9.5226086381198165</v>
          </cell>
        </row>
        <row r="7">
          <cell r="B7" t="str">
            <v>ST5300006</v>
          </cell>
          <cell r="C7">
            <v>3162990</v>
          </cell>
          <cell r="D7">
            <v>326160</v>
          </cell>
          <cell r="E7">
            <v>3489150</v>
          </cell>
          <cell r="F7">
            <v>9.3000000000000007</v>
          </cell>
          <cell r="G7">
            <v>3483480</v>
          </cell>
          <cell r="H7">
            <v>3152780</v>
          </cell>
          <cell r="I7">
            <v>330700</v>
          </cell>
          <cell r="J7">
            <v>9.4934198521039619</v>
          </cell>
        </row>
        <row r="8">
          <cell r="B8" t="str">
            <v>ST5300007</v>
          </cell>
          <cell r="C8">
            <v>3162440</v>
          </cell>
          <cell r="D8">
            <v>311030</v>
          </cell>
          <cell r="E8">
            <v>3473470</v>
          </cell>
          <cell r="F8">
            <v>9</v>
          </cell>
          <cell r="G8">
            <v>3482050</v>
          </cell>
          <cell r="H8">
            <v>3154160</v>
          </cell>
          <cell r="I8">
            <v>327890</v>
          </cell>
          <cell r="J8">
            <v>9.4166006923092045</v>
          </cell>
        </row>
        <row r="9">
          <cell r="B9" t="str">
            <v>ST5300008</v>
          </cell>
          <cell r="C9" t="str">
            <v/>
          </cell>
          <cell r="D9" t="str">
            <v/>
          </cell>
          <cell r="E9" t="e">
            <v>#VALUE!</v>
          </cell>
          <cell r="F9" t="str">
            <v/>
          </cell>
          <cell r="G9" t="str">
            <v/>
          </cell>
          <cell r="H9" t="str">
            <v/>
          </cell>
          <cell r="I9" t="str">
            <v/>
          </cell>
          <cell r="J9" t="str">
            <v/>
          </cell>
        </row>
        <row r="10">
          <cell r="B10" t="str">
            <v>ST5300009</v>
          </cell>
          <cell r="C10" t="str">
            <v/>
          </cell>
          <cell r="D10" t="str">
            <v/>
          </cell>
          <cell r="E10" t="e">
            <v>#VALUE!</v>
          </cell>
          <cell r="F10" t="str">
            <v/>
          </cell>
          <cell r="G10" t="str">
            <v/>
          </cell>
          <cell r="H10" t="str">
            <v/>
          </cell>
          <cell r="I10" t="str">
            <v/>
          </cell>
          <cell r="J10" t="str">
            <v/>
          </cell>
        </row>
        <row r="11">
          <cell r="B11" t="str">
            <v>ST53000010</v>
          </cell>
          <cell r="C11" t="str">
            <v/>
          </cell>
          <cell r="D11" t="str">
            <v/>
          </cell>
          <cell r="E11" t="e">
            <v>#VALUE!</v>
          </cell>
          <cell r="F11" t="str">
            <v/>
          </cell>
          <cell r="G11" t="str">
            <v/>
          </cell>
          <cell r="H11" t="str">
            <v/>
          </cell>
          <cell r="I11" t="str">
            <v/>
          </cell>
          <cell r="J11" t="str">
            <v/>
          </cell>
        </row>
        <row r="12">
          <cell r="B12" t="str">
            <v>ST53000011</v>
          </cell>
          <cell r="C12" t="str">
            <v/>
          </cell>
          <cell r="D12" t="str">
            <v/>
          </cell>
          <cell r="E12" t="e">
            <v>#VALUE!</v>
          </cell>
          <cell r="F12" t="str">
            <v/>
          </cell>
          <cell r="G12" t="str">
            <v/>
          </cell>
          <cell r="H12" t="str">
            <v/>
          </cell>
          <cell r="I12" t="str">
            <v/>
          </cell>
          <cell r="J12" t="str">
            <v/>
          </cell>
        </row>
        <row r="13">
          <cell r="B13" t="str">
            <v>ST53000012</v>
          </cell>
          <cell r="C13" t="str">
            <v/>
          </cell>
          <cell r="D13" t="str">
            <v/>
          </cell>
          <cell r="E13" t="e">
            <v>#VALUE!</v>
          </cell>
          <cell r="F13" t="str">
            <v/>
          </cell>
          <cell r="G13" t="str">
            <v/>
          </cell>
          <cell r="H13" t="str">
            <v/>
          </cell>
          <cell r="I13" t="str">
            <v/>
          </cell>
          <cell r="J13" t="str">
            <v/>
          </cell>
        </row>
        <row r="14">
          <cell r="B14" t="str">
            <v>PT5301321</v>
          </cell>
          <cell r="C14">
            <v>7710</v>
          </cell>
          <cell r="D14">
            <v>760</v>
          </cell>
          <cell r="E14">
            <v>8470</v>
          </cell>
          <cell r="F14">
            <v>8.9</v>
          </cell>
          <cell r="G14">
            <v>8470</v>
          </cell>
          <cell r="H14">
            <v>7710</v>
          </cell>
          <cell r="I14">
            <v>760</v>
          </cell>
          <cell r="J14">
            <v>8.9</v>
          </cell>
        </row>
        <row r="15">
          <cell r="B15" t="str">
            <v>PT5301322</v>
          </cell>
          <cell r="C15">
            <v>7760</v>
          </cell>
          <cell r="D15">
            <v>790</v>
          </cell>
          <cell r="E15">
            <v>8550</v>
          </cell>
          <cell r="F15">
            <v>9.3000000000000007</v>
          </cell>
          <cell r="G15">
            <v>8510</v>
          </cell>
          <cell r="H15">
            <v>7730</v>
          </cell>
          <cell r="I15">
            <v>780</v>
          </cell>
          <cell r="J15">
            <v>9.1144149967679375</v>
          </cell>
        </row>
        <row r="16">
          <cell r="B16" t="str">
            <v>PT5301323</v>
          </cell>
          <cell r="C16">
            <v>7730</v>
          </cell>
          <cell r="D16">
            <v>760</v>
          </cell>
          <cell r="E16">
            <v>8490</v>
          </cell>
          <cell r="F16">
            <v>9</v>
          </cell>
          <cell r="G16">
            <v>8500</v>
          </cell>
          <cell r="H16">
            <v>7730</v>
          </cell>
          <cell r="I16">
            <v>770</v>
          </cell>
          <cell r="J16">
            <v>9.0759399380562176</v>
          </cell>
        </row>
        <row r="17">
          <cell r="B17" t="str">
            <v>PT5301324</v>
          </cell>
          <cell r="C17">
            <v>7650</v>
          </cell>
          <cell r="D17">
            <v>680</v>
          </cell>
          <cell r="E17">
            <v>8330</v>
          </cell>
          <cell r="F17">
            <v>8.1</v>
          </cell>
          <cell r="G17">
            <v>8460</v>
          </cell>
          <cell r="H17">
            <v>7710</v>
          </cell>
          <cell r="I17">
            <v>750</v>
          </cell>
          <cell r="J17">
            <v>8.840742492314968</v>
          </cell>
        </row>
        <row r="18">
          <cell r="B18" t="str">
            <v>PT5301325</v>
          </cell>
          <cell r="C18">
            <v>7690</v>
          </cell>
          <cell r="D18">
            <v>670</v>
          </cell>
          <cell r="E18">
            <v>8360</v>
          </cell>
          <cell r="F18">
            <v>8</v>
          </cell>
          <cell r="G18">
            <v>8440</v>
          </cell>
          <cell r="H18">
            <v>7710</v>
          </cell>
          <cell r="I18">
            <v>730</v>
          </cell>
          <cell r="J18">
            <v>8.6718490780679716</v>
          </cell>
        </row>
        <row r="19">
          <cell r="B19" t="str">
            <v>PT5301326</v>
          </cell>
          <cell r="C19">
            <v>7690</v>
          </cell>
          <cell r="D19">
            <v>760</v>
          </cell>
          <cell r="E19">
            <v>8450</v>
          </cell>
          <cell r="F19">
            <v>9</v>
          </cell>
          <cell r="G19">
            <v>8440</v>
          </cell>
          <cell r="H19">
            <v>7700</v>
          </cell>
          <cell r="I19">
            <v>740</v>
          </cell>
          <cell r="J19">
            <v>8.7313653865139695</v>
          </cell>
        </row>
        <row r="20">
          <cell r="B20" t="str">
            <v>PT5301327</v>
          </cell>
          <cell r="C20">
            <v>7680</v>
          </cell>
          <cell r="D20">
            <v>750</v>
          </cell>
          <cell r="E20">
            <v>8430</v>
          </cell>
          <cell r="F20">
            <v>8.9</v>
          </cell>
          <cell r="G20">
            <v>8440</v>
          </cell>
          <cell r="H20">
            <v>7700</v>
          </cell>
          <cell r="I20">
            <v>740</v>
          </cell>
          <cell r="J20">
            <v>8.7562205897288337</v>
          </cell>
        </row>
        <row r="21">
          <cell r="B21" t="str">
            <v>PT5301328</v>
          </cell>
          <cell r="C21" t="str">
            <v/>
          </cell>
          <cell r="D21" t="str">
            <v/>
          </cell>
          <cell r="E21" t="e">
            <v>#VALUE!</v>
          </cell>
          <cell r="F21" t="str">
            <v/>
          </cell>
          <cell r="G21" t="str">
            <v/>
          </cell>
          <cell r="H21" t="str">
            <v/>
          </cell>
          <cell r="I21" t="str">
            <v/>
          </cell>
          <cell r="J21" t="str">
            <v/>
          </cell>
        </row>
        <row r="22">
          <cell r="B22" t="str">
            <v>PT5301329</v>
          </cell>
          <cell r="C22" t="str">
            <v/>
          </cell>
          <cell r="D22" t="str">
            <v/>
          </cell>
          <cell r="E22" t="e">
            <v>#VALUE!</v>
          </cell>
          <cell r="F22" t="str">
            <v/>
          </cell>
          <cell r="G22" t="str">
            <v/>
          </cell>
          <cell r="H22" t="str">
            <v/>
          </cell>
          <cell r="I22" t="str">
            <v/>
          </cell>
          <cell r="J22" t="str">
            <v/>
          </cell>
        </row>
        <row r="23">
          <cell r="B23" t="str">
            <v>PT53013210</v>
          </cell>
          <cell r="C23" t="str">
            <v/>
          </cell>
          <cell r="D23" t="str">
            <v/>
          </cell>
          <cell r="E23" t="e">
            <v>#VALUE!</v>
          </cell>
          <cell r="F23" t="str">
            <v/>
          </cell>
          <cell r="G23" t="str">
            <v/>
          </cell>
          <cell r="H23" t="str">
            <v/>
          </cell>
          <cell r="I23" t="str">
            <v/>
          </cell>
          <cell r="J23" t="str">
            <v/>
          </cell>
        </row>
        <row r="24">
          <cell r="B24" t="str">
            <v>PT53013211</v>
          </cell>
          <cell r="C24" t="str">
            <v/>
          </cell>
          <cell r="D24" t="str">
            <v/>
          </cell>
          <cell r="E24" t="e">
            <v>#VALUE!</v>
          </cell>
          <cell r="F24" t="str">
            <v/>
          </cell>
          <cell r="G24" t="str">
            <v/>
          </cell>
          <cell r="H24" t="str">
            <v/>
          </cell>
          <cell r="I24" t="str">
            <v/>
          </cell>
          <cell r="J24" t="str">
            <v/>
          </cell>
        </row>
        <row r="25">
          <cell r="B25" t="str">
            <v>PT53013212</v>
          </cell>
          <cell r="C25" t="str">
            <v/>
          </cell>
          <cell r="D25" t="str">
            <v/>
          </cell>
          <cell r="E25" t="e">
            <v>#VALUE!</v>
          </cell>
          <cell r="F25" t="str">
            <v/>
          </cell>
          <cell r="G25" t="str">
            <v/>
          </cell>
          <cell r="H25" t="str">
            <v/>
          </cell>
          <cell r="I25" t="str">
            <v/>
          </cell>
          <cell r="J25" t="str">
            <v/>
          </cell>
        </row>
        <row r="26">
          <cell r="B26" t="str">
            <v>PT5301311</v>
          </cell>
          <cell r="C26">
            <v>9890</v>
          </cell>
          <cell r="D26">
            <v>900</v>
          </cell>
          <cell r="E26">
            <v>10790</v>
          </cell>
          <cell r="F26">
            <v>8.4</v>
          </cell>
          <cell r="G26">
            <v>10800</v>
          </cell>
          <cell r="H26">
            <v>9890</v>
          </cell>
          <cell r="I26">
            <v>900</v>
          </cell>
          <cell r="J26">
            <v>8.4</v>
          </cell>
        </row>
        <row r="27">
          <cell r="B27" t="str">
            <v>PT5301312</v>
          </cell>
          <cell r="C27">
            <v>9950</v>
          </cell>
          <cell r="D27">
            <v>890</v>
          </cell>
          <cell r="E27">
            <v>10840</v>
          </cell>
          <cell r="F27">
            <v>8.1999999999999993</v>
          </cell>
          <cell r="G27">
            <v>10820</v>
          </cell>
          <cell r="H27">
            <v>9920</v>
          </cell>
          <cell r="I27">
            <v>900</v>
          </cell>
          <cell r="J27">
            <v>8.2913527753385416</v>
          </cell>
        </row>
        <row r="28">
          <cell r="B28" t="str">
            <v>PT5301313</v>
          </cell>
          <cell r="C28">
            <v>9910</v>
          </cell>
          <cell r="D28">
            <v>890</v>
          </cell>
          <cell r="E28">
            <v>10800</v>
          </cell>
          <cell r="F28">
            <v>8.3000000000000007</v>
          </cell>
          <cell r="G28">
            <v>10810</v>
          </cell>
          <cell r="H28">
            <v>9920</v>
          </cell>
          <cell r="I28">
            <v>900</v>
          </cell>
          <cell r="J28">
            <v>8.2850450006164476</v>
          </cell>
        </row>
        <row r="29">
          <cell r="B29" t="str">
            <v>PT5301314</v>
          </cell>
          <cell r="C29">
            <v>9810</v>
          </cell>
          <cell r="D29">
            <v>790</v>
          </cell>
          <cell r="E29">
            <v>10600</v>
          </cell>
          <cell r="F29">
            <v>7.4</v>
          </cell>
          <cell r="G29">
            <v>10760</v>
          </cell>
          <cell r="H29">
            <v>9890</v>
          </cell>
          <cell r="I29">
            <v>870</v>
          </cell>
          <cell r="J29">
            <v>8.0708112628937823</v>
          </cell>
        </row>
        <row r="30">
          <cell r="B30" t="str">
            <v>PT5301315</v>
          </cell>
          <cell r="C30">
            <v>9870</v>
          </cell>
          <cell r="D30">
            <v>770</v>
          </cell>
          <cell r="E30">
            <v>10640</v>
          </cell>
          <cell r="F30">
            <v>7.2</v>
          </cell>
          <cell r="G30">
            <v>10740</v>
          </cell>
          <cell r="H30">
            <v>9890</v>
          </cell>
          <cell r="I30">
            <v>850</v>
          </cell>
          <cell r="J30">
            <v>7.8985115776531725</v>
          </cell>
        </row>
        <row r="31">
          <cell r="B31" t="str">
            <v>PT5301316</v>
          </cell>
          <cell r="C31">
            <v>9860</v>
          </cell>
          <cell r="D31">
            <v>870</v>
          </cell>
          <cell r="E31">
            <v>10730</v>
          </cell>
          <cell r="F31">
            <v>8.1</v>
          </cell>
          <cell r="G31">
            <v>10740</v>
          </cell>
          <cell r="H31">
            <v>9880</v>
          </cell>
          <cell r="I31">
            <v>850</v>
          </cell>
          <cell r="J31">
            <v>7.9272174007545297</v>
          </cell>
        </row>
        <row r="32">
          <cell r="B32" t="str">
            <v>PT5301317</v>
          </cell>
          <cell r="C32">
            <v>9860</v>
          </cell>
          <cell r="D32">
            <v>840</v>
          </cell>
          <cell r="E32">
            <v>10700</v>
          </cell>
          <cell r="F32">
            <v>7.9</v>
          </cell>
          <cell r="G32">
            <v>10730</v>
          </cell>
          <cell r="H32">
            <v>9880</v>
          </cell>
          <cell r="I32">
            <v>850</v>
          </cell>
          <cell r="J32">
            <v>7.9216093514931236</v>
          </cell>
        </row>
        <row r="33">
          <cell r="B33" t="str">
            <v>PT5301318</v>
          </cell>
          <cell r="C33" t="str">
            <v/>
          </cell>
          <cell r="D33" t="str">
            <v/>
          </cell>
          <cell r="E33" t="e">
            <v>#VALUE!</v>
          </cell>
          <cell r="F33" t="str">
            <v/>
          </cell>
          <cell r="G33" t="str">
            <v/>
          </cell>
          <cell r="H33" t="str">
            <v/>
          </cell>
          <cell r="I33" t="str">
            <v/>
          </cell>
          <cell r="J33" t="str">
            <v/>
          </cell>
        </row>
        <row r="34">
          <cell r="B34" t="str">
            <v>PT5301319</v>
          </cell>
          <cell r="C34" t="str">
            <v/>
          </cell>
          <cell r="D34" t="str">
            <v/>
          </cell>
          <cell r="E34" t="e">
            <v>#VALUE!</v>
          </cell>
          <cell r="F34" t="str">
            <v/>
          </cell>
          <cell r="G34" t="str">
            <v/>
          </cell>
          <cell r="H34" t="str">
            <v/>
          </cell>
          <cell r="I34" t="str">
            <v/>
          </cell>
          <cell r="J34" t="str">
            <v/>
          </cell>
        </row>
        <row r="35">
          <cell r="B35" t="str">
            <v>PT53013110</v>
          </cell>
          <cell r="C35" t="str">
            <v/>
          </cell>
          <cell r="D35" t="str">
            <v/>
          </cell>
          <cell r="E35" t="e">
            <v>#VALUE!</v>
          </cell>
          <cell r="F35" t="str">
            <v/>
          </cell>
          <cell r="G35" t="str">
            <v/>
          </cell>
          <cell r="H35" t="str">
            <v/>
          </cell>
          <cell r="I35" t="str">
            <v/>
          </cell>
          <cell r="J35" t="str">
            <v/>
          </cell>
        </row>
        <row r="36">
          <cell r="B36" t="str">
            <v>PT53013111</v>
          </cell>
          <cell r="C36" t="str">
            <v/>
          </cell>
          <cell r="D36" t="str">
            <v/>
          </cell>
          <cell r="E36" t="e">
            <v>#VALUE!</v>
          </cell>
          <cell r="F36" t="str">
            <v/>
          </cell>
          <cell r="G36" t="str">
            <v/>
          </cell>
          <cell r="H36" t="str">
            <v/>
          </cell>
          <cell r="I36" t="str">
            <v/>
          </cell>
          <cell r="J36" t="str">
            <v/>
          </cell>
        </row>
        <row r="37">
          <cell r="B37" t="str">
            <v>PT53013112</v>
          </cell>
          <cell r="C37" t="str">
            <v/>
          </cell>
          <cell r="D37" t="str">
            <v/>
          </cell>
          <cell r="E37" t="e">
            <v>#VALUE!</v>
          </cell>
          <cell r="F37" t="str">
            <v/>
          </cell>
          <cell r="G37" t="str">
            <v/>
          </cell>
          <cell r="H37" t="str">
            <v/>
          </cell>
          <cell r="I37" t="str">
            <v/>
          </cell>
          <cell r="J37" t="str">
            <v/>
          </cell>
        </row>
        <row r="38">
          <cell r="B38" t="str">
            <v>PT5300521</v>
          </cell>
          <cell r="C38">
            <v>26500</v>
          </cell>
          <cell r="D38">
            <v>2790</v>
          </cell>
          <cell r="E38">
            <v>29290</v>
          </cell>
          <cell r="F38">
            <v>9.5</v>
          </cell>
          <cell r="G38">
            <v>29290</v>
          </cell>
          <cell r="H38">
            <v>26500</v>
          </cell>
          <cell r="I38">
            <v>2790</v>
          </cell>
          <cell r="J38">
            <v>9.5</v>
          </cell>
        </row>
        <row r="39">
          <cell r="B39" t="str">
            <v>PT5300522</v>
          </cell>
          <cell r="C39">
            <v>26650</v>
          </cell>
          <cell r="D39">
            <v>2830</v>
          </cell>
          <cell r="E39">
            <v>29480</v>
          </cell>
          <cell r="F39">
            <v>9.6</v>
          </cell>
          <cell r="G39">
            <v>29380</v>
          </cell>
          <cell r="H39">
            <v>26570</v>
          </cell>
          <cell r="I39">
            <v>2810</v>
          </cell>
          <cell r="J39">
            <v>9.5664307105907973</v>
          </cell>
        </row>
        <row r="40">
          <cell r="B40" t="str">
            <v>PT5300523</v>
          </cell>
          <cell r="C40">
            <v>26550</v>
          </cell>
          <cell r="D40">
            <v>2790</v>
          </cell>
          <cell r="E40">
            <v>29340</v>
          </cell>
          <cell r="F40">
            <v>9.5</v>
          </cell>
          <cell r="G40">
            <v>29370</v>
          </cell>
          <cell r="H40">
            <v>26570</v>
          </cell>
          <cell r="I40">
            <v>2800</v>
          </cell>
          <cell r="J40">
            <v>9.5454287497871864</v>
          </cell>
        </row>
        <row r="41">
          <cell r="B41" t="str">
            <v>PT5300524</v>
          </cell>
          <cell r="C41">
            <v>26280</v>
          </cell>
          <cell r="D41">
            <v>2630</v>
          </cell>
          <cell r="E41">
            <v>28910</v>
          </cell>
          <cell r="F41">
            <v>9.1</v>
          </cell>
          <cell r="G41">
            <v>29260</v>
          </cell>
          <cell r="H41">
            <v>26490</v>
          </cell>
          <cell r="I41">
            <v>2760</v>
          </cell>
          <cell r="J41">
            <v>9.4359132121585017</v>
          </cell>
        </row>
        <row r="42">
          <cell r="B42" t="str">
            <v>PT5300525</v>
          </cell>
          <cell r="C42">
            <v>26440</v>
          </cell>
          <cell r="D42">
            <v>2660</v>
          </cell>
          <cell r="E42">
            <v>29100</v>
          </cell>
          <cell r="F42">
            <v>9.1999999999999993</v>
          </cell>
          <cell r="G42">
            <v>29220</v>
          </cell>
          <cell r="H42">
            <v>26480</v>
          </cell>
          <cell r="I42">
            <v>2740</v>
          </cell>
          <cell r="J42">
            <v>9.3797690986360802</v>
          </cell>
        </row>
        <row r="43">
          <cell r="B43" t="str">
            <v>PT5300526</v>
          </cell>
          <cell r="C43">
            <v>26420</v>
          </cell>
          <cell r="D43">
            <v>2830</v>
          </cell>
          <cell r="E43">
            <v>29250</v>
          </cell>
          <cell r="F43">
            <v>9.6999999999999993</v>
          </cell>
          <cell r="G43">
            <v>29230</v>
          </cell>
          <cell r="H43">
            <v>26470</v>
          </cell>
          <cell r="I43">
            <v>2760</v>
          </cell>
          <cell r="J43">
            <v>9.4307023846180158</v>
          </cell>
        </row>
        <row r="44">
          <cell r="B44" t="str">
            <v>PT5300527</v>
          </cell>
          <cell r="C44">
            <v>26400</v>
          </cell>
          <cell r="D44">
            <v>2700</v>
          </cell>
          <cell r="E44">
            <v>29100</v>
          </cell>
          <cell r="F44">
            <v>9.3000000000000007</v>
          </cell>
          <cell r="G44">
            <v>29210</v>
          </cell>
          <cell r="H44">
            <v>26460</v>
          </cell>
          <cell r="I44">
            <v>2750</v>
          </cell>
          <cell r="J44">
            <v>9.4104873969306606</v>
          </cell>
        </row>
        <row r="45">
          <cell r="B45" t="str">
            <v>PT5300528</v>
          </cell>
          <cell r="C45" t="str">
            <v/>
          </cell>
          <cell r="D45" t="str">
            <v/>
          </cell>
          <cell r="E45" t="e">
            <v>#VALUE!</v>
          </cell>
          <cell r="F45" t="str">
            <v/>
          </cell>
          <cell r="G45" t="str">
            <v/>
          </cell>
          <cell r="H45" t="str">
            <v/>
          </cell>
          <cell r="I45" t="str">
            <v/>
          </cell>
          <cell r="J45" t="str">
            <v/>
          </cell>
        </row>
        <row r="46">
          <cell r="B46" t="str">
            <v>PT5300529</v>
          </cell>
          <cell r="C46" t="str">
            <v/>
          </cell>
          <cell r="D46" t="str">
            <v/>
          </cell>
          <cell r="E46" t="e">
            <v>#VALUE!</v>
          </cell>
          <cell r="F46" t="str">
            <v/>
          </cell>
          <cell r="G46" t="str">
            <v/>
          </cell>
          <cell r="H46" t="str">
            <v/>
          </cell>
          <cell r="I46" t="str">
            <v/>
          </cell>
          <cell r="J46" t="str">
            <v/>
          </cell>
        </row>
        <row r="47">
          <cell r="B47" t="str">
            <v>PT53005210</v>
          </cell>
          <cell r="C47" t="str">
            <v/>
          </cell>
          <cell r="D47" t="str">
            <v/>
          </cell>
          <cell r="E47" t="e">
            <v>#VALUE!</v>
          </cell>
          <cell r="F47" t="str">
            <v/>
          </cell>
          <cell r="G47" t="str">
            <v/>
          </cell>
          <cell r="H47" t="str">
            <v/>
          </cell>
          <cell r="I47" t="str">
            <v/>
          </cell>
          <cell r="J47" t="str">
            <v/>
          </cell>
        </row>
        <row r="48">
          <cell r="B48" t="str">
            <v>PT53005211</v>
          </cell>
          <cell r="C48" t="str">
            <v/>
          </cell>
          <cell r="D48" t="str">
            <v/>
          </cell>
          <cell r="E48" t="e">
            <v>#VALUE!</v>
          </cell>
          <cell r="F48" t="str">
            <v/>
          </cell>
          <cell r="G48" t="str">
            <v/>
          </cell>
          <cell r="H48" t="str">
            <v/>
          </cell>
          <cell r="I48" t="str">
            <v/>
          </cell>
          <cell r="J48" t="str">
            <v/>
          </cell>
        </row>
        <row r="49">
          <cell r="B49" t="str">
            <v>PT53005212</v>
          </cell>
          <cell r="C49" t="str">
            <v/>
          </cell>
          <cell r="D49" t="str">
            <v/>
          </cell>
          <cell r="E49" t="e">
            <v>#VALUE!</v>
          </cell>
          <cell r="F49" t="str">
            <v/>
          </cell>
          <cell r="G49" t="str">
            <v/>
          </cell>
          <cell r="H49" t="str">
            <v/>
          </cell>
          <cell r="I49" t="str">
            <v/>
          </cell>
          <cell r="J49" t="str">
            <v/>
          </cell>
        </row>
        <row r="50">
          <cell r="B50" t="str">
            <v>PT5300511</v>
          </cell>
          <cell r="C50">
            <v>2880</v>
          </cell>
          <cell r="D50">
            <v>160</v>
          </cell>
          <cell r="E50">
            <v>3040</v>
          </cell>
          <cell r="F50">
            <v>5.0999999999999996</v>
          </cell>
          <cell r="G50">
            <v>3030</v>
          </cell>
          <cell r="H50">
            <v>2880</v>
          </cell>
          <cell r="I50">
            <v>160</v>
          </cell>
          <cell r="J50">
            <v>5.0999999999999996</v>
          </cell>
        </row>
        <row r="51">
          <cell r="B51" t="str">
            <v>PT5300512</v>
          </cell>
          <cell r="C51">
            <v>2860</v>
          </cell>
          <cell r="D51">
            <v>170</v>
          </cell>
          <cell r="E51">
            <v>3030</v>
          </cell>
          <cell r="F51">
            <v>5.5</v>
          </cell>
          <cell r="G51">
            <v>3030</v>
          </cell>
          <cell r="H51">
            <v>2870</v>
          </cell>
          <cell r="I51">
            <v>160</v>
          </cell>
          <cell r="J51">
            <v>5.3014037985136246</v>
          </cell>
        </row>
        <row r="52">
          <cell r="B52" t="str">
            <v>PT5300513</v>
          </cell>
          <cell r="C52">
            <v>2860</v>
          </cell>
          <cell r="D52">
            <v>180</v>
          </cell>
          <cell r="E52">
            <v>3040</v>
          </cell>
          <cell r="F52">
            <v>5.9</v>
          </cell>
          <cell r="G52">
            <v>3030</v>
          </cell>
          <cell r="H52">
            <v>2870</v>
          </cell>
          <cell r="I52">
            <v>170</v>
          </cell>
          <cell r="J52">
            <v>5.5079155672823221</v>
          </cell>
        </row>
        <row r="53">
          <cell r="B53" t="str">
            <v>PT5300514</v>
          </cell>
          <cell r="C53">
            <v>2860</v>
          </cell>
          <cell r="D53">
            <v>150</v>
          </cell>
          <cell r="E53">
            <v>3010</v>
          </cell>
          <cell r="F53">
            <v>4.9000000000000004</v>
          </cell>
          <cell r="G53">
            <v>3020</v>
          </cell>
          <cell r="H53">
            <v>2860</v>
          </cell>
          <cell r="I53">
            <v>160</v>
          </cell>
          <cell r="J53">
            <v>5.3479914035377742</v>
          </cell>
        </row>
        <row r="54">
          <cell r="B54" t="str">
            <v>PT5300515</v>
          </cell>
          <cell r="C54">
            <v>2890</v>
          </cell>
          <cell r="D54">
            <v>150</v>
          </cell>
          <cell r="E54">
            <v>3040</v>
          </cell>
          <cell r="F54">
            <v>5</v>
          </cell>
          <cell r="G54">
            <v>3030</v>
          </cell>
          <cell r="H54">
            <v>2870</v>
          </cell>
          <cell r="I54">
            <v>160</v>
          </cell>
          <cell r="J54">
            <v>5.272547076313181</v>
          </cell>
        </row>
        <row r="55">
          <cell r="B55" t="str">
            <v>PT5300516</v>
          </cell>
          <cell r="C55">
            <v>2830</v>
          </cell>
          <cell r="D55">
            <v>170</v>
          </cell>
          <cell r="E55">
            <v>3000</v>
          </cell>
          <cell r="F55">
            <v>5.6</v>
          </cell>
          <cell r="G55">
            <v>3020</v>
          </cell>
          <cell r="H55">
            <v>2860</v>
          </cell>
          <cell r="I55">
            <v>160</v>
          </cell>
          <cell r="J55">
            <v>5.3223760410346914</v>
          </cell>
        </row>
        <row r="56">
          <cell r="B56" t="str">
            <v>PT5300517</v>
          </cell>
          <cell r="C56">
            <v>2790</v>
          </cell>
          <cell r="D56">
            <v>170</v>
          </cell>
          <cell r="E56">
            <v>2960</v>
          </cell>
          <cell r="F56">
            <v>5.6</v>
          </cell>
          <cell r="G56">
            <v>3010</v>
          </cell>
          <cell r="H56">
            <v>2850</v>
          </cell>
          <cell r="I56">
            <v>160</v>
          </cell>
          <cell r="J56">
            <v>5.3645116918844575</v>
          </cell>
        </row>
        <row r="57">
          <cell r="B57" t="str">
            <v>PT5300518</v>
          </cell>
          <cell r="C57" t="str">
            <v/>
          </cell>
          <cell r="D57" t="str">
            <v/>
          </cell>
          <cell r="E57" t="e">
            <v>#VALUE!</v>
          </cell>
          <cell r="F57" t="str">
            <v/>
          </cell>
          <cell r="G57" t="str">
            <v/>
          </cell>
          <cell r="H57" t="str">
            <v/>
          </cell>
          <cell r="I57" t="str">
            <v/>
          </cell>
          <cell r="J57" t="str">
            <v/>
          </cell>
        </row>
        <row r="58">
          <cell r="B58" t="str">
            <v>PT5300519</v>
          </cell>
          <cell r="C58" t="str">
            <v/>
          </cell>
          <cell r="D58" t="str">
            <v/>
          </cell>
          <cell r="E58" t="e">
            <v>#VALUE!</v>
          </cell>
          <cell r="F58" t="str">
            <v/>
          </cell>
          <cell r="G58" t="str">
            <v/>
          </cell>
          <cell r="H58" t="str">
            <v/>
          </cell>
          <cell r="I58" t="str">
            <v/>
          </cell>
          <cell r="J58" t="str">
            <v/>
          </cell>
        </row>
        <row r="59">
          <cell r="B59" t="str">
            <v>PT53005110</v>
          </cell>
          <cell r="C59" t="str">
            <v/>
          </cell>
          <cell r="D59" t="str">
            <v/>
          </cell>
          <cell r="E59" t="e">
            <v>#VALUE!</v>
          </cell>
          <cell r="F59" t="str">
            <v/>
          </cell>
          <cell r="G59" t="str">
            <v/>
          </cell>
          <cell r="H59" t="str">
            <v/>
          </cell>
          <cell r="I59" t="str">
            <v/>
          </cell>
          <cell r="J59" t="str">
            <v/>
          </cell>
        </row>
        <row r="60">
          <cell r="B60" t="str">
            <v>PT53005111</v>
          </cell>
          <cell r="C60" t="str">
            <v/>
          </cell>
          <cell r="D60" t="str">
            <v/>
          </cell>
          <cell r="E60" t="e">
            <v>#VALUE!</v>
          </cell>
          <cell r="F60" t="str">
            <v/>
          </cell>
          <cell r="G60" t="str">
            <v/>
          </cell>
          <cell r="H60" t="str">
            <v/>
          </cell>
          <cell r="I60" t="str">
            <v/>
          </cell>
          <cell r="J60" t="str">
            <v/>
          </cell>
        </row>
        <row r="61">
          <cell r="B61" t="str">
            <v>PT53005112</v>
          </cell>
          <cell r="C61" t="str">
            <v/>
          </cell>
          <cell r="D61" t="str">
            <v/>
          </cell>
          <cell r="E61" t="e">
            <v>#VALUE!</v>
          </cell>
          <cell r="F61" t="str">
            <v/>
          </cell>
          <cell r="G61" t="str">
            <v/>
          </cell>
          <cell r="H61" t="str">
            <v/>
          </cell>
          <cell r="I61" t="str">
            <v/>
          </cell>
          <cell r="J61" t="str">
            <v/>
          </cell>
        </row>
        <row r="62">
          <cell r="B62" t="str">
            <v>PS5303001</v>
          </cell>
          <cell r="C62">
            <v>340770</v>
          </cell>
          <cell r="D62">
            <v>38580</v>
          </cell>
          <cell r="E62">
            <v>379350</v>
          </cell>
          <cell r="F62">
            <v>10.199999999999999</v>
          </cell>
          <cell r="G62">
            <v>379360</v>
          </cell>
          <cell r="H62">
            <v>340770</v>
          </cell>
          <cell r="I62">
            <v>38580</v>
          </cell>
          <cell r="J62">
            <v>10.199999999999999</v>
          </cell>
        </row>
        <row r="63">
          <cell r="B63" t="str">
            <v>PS5303002</v>
          </cell>
          <cell r="C63">
            <v>342680</v>
          </cell>
          <cell r="D63">
            <v>39730</v>
          </cell>
          <cell r="E63">
            <v>382410</v>
          </cell>
          <cell r="F63">
            <v>10.4</v>
          </cell>
          <cell r="G63">
            <v>380880</v>
          </cell>
          <cell r="H63">
            <v>341730</v>
          </cell>
          <cell r="I63">
            <v>39150</v>
          </cell>
          <cell r="J63">
            <v>10.279982461713763</v>
          </cell>
        </row>
        <row r="64">
          <cell r="B64" t="str">
            <v>PS5303003</v>
          </cell>
          <cell r="C64">
            <v>341420</v>
          </cell>
          <cell r="D64">
            <v>38780</v>
          </cell>
          <cell r="E64">
            <v>380200</v>
          </cell>
          <cell r="F64">
            <v>10.199999999999999</v>
          </cell>
          <cell r="G64">
            <v>380650</v>
          </cell>
          <cell r="H64">
            <v>341630</v>
          </cell>
          <cell r="I64">
            <v>39030</v>
          </cell>
          <cell r="J64">
            <v>10.25305570588163</v>
          </cell>
        </row>
        <row r="65">
          <cell r="B65" t="str">
            <v>PS5303004</v>
          </cell>
          <cell r="C65">
            <v>338020</v>
          </cell>
          <cell r="D65">
            <v>35310</v>
          </cell>
          <cell r="E65">
            <v>373330</v>
          </cell>
          <cell r="F65">
            <v>9.5</v>
          </cell>
          <cell r="G65">
            <v>378820</v>
          </cell>
          <cell r="H65">
            <v>340720</v>
          </cell>
          <cell r="I65">
            <v>38100</v>
          </cell>
          <cell r="J65">
            <v>10.056933259331755</v>
          </cell>
        </row>
        <row r="66">
          <cell r="B66" t="str">
            <v>PS5303005</v>
          </cell>
          <cell r="C66">
            <v>339990</v>
          </cell>
          <cell r="D66">
            <v>34620</v>
          </cell>
          <cell r="E66">
            <v>374610</v>
          </cell>
          <cell r="F66">
            <v>9.1999999999999993</v>
          </cell>
          <cell r="G66">
            <v>377980</v>
          </cell>
          <cell r="H66">
            <v>340580</v>
          </cell>
          <cell r="I66">
            <v>37400</v>
          </cell>
          <cell r="J66">
            <v>9.8952319976294927</v>
          </cell>
        </row>
        <row r="67">
          <cell r="B67" t="str">
            <v>PS5303006</v>
          </cell>
          <cell r="C67">
            <v>339730</v>
          </cell>
          <cell r="D67">
            <v>38270</v>
          </cell>
          <cell r="E67">
            <v>378000</v>
          </cell>
          <cell r="F67">
            <v>10.1</v>
          </cell>
          <cell r="G67">
            <v>377980</v>
          </cell>
          <cell r="H67">
            <v>340440</v>
          </cell>
          <cell r="I67">
            <v>37550</v>
          </cell>
          <cell r="J67">
            <v>9.9334492412119957</v>
          </cell>
        </row>
        <row r="68">
          <cell r="B68" t="str">
            <v>PS5303007</v>
          </cell>
          <cell r="C68">
            <v>339470</v>
          </cell>
          <cell r="D68">
            <v>37800</v>
          </cell>
          <cell r="E68">
            <v>377270</v>
          </cell>
          <cell r="F68">
            <v>10</v>
          </cell>
          <cell r="G68">
            <v>377880</v>
          </cell>
          <cell r="H68">
            <v>340300</v>
          </cell>
          <cell r="I68">
            <v>37580</v>
          </cell>
          <cell r="J68">
            <v>9.9457840184397082</v>
          </cell>
        </row>
        <row r="69">
          <cell r="B69" t="str">
            <v>PS5303008</v>
          </cell>
          <cell r="C69" t="str">
            <v/>
          </cell>
          <cell r="D69" t="str">
            <v/>
          </cell>
          <cell r="E69" t="e">
            <v>#VALUE!</v>
          </cell>
          <cell r="F69" t="str">
            <v/>
          </cell>
          <cell r="G69" t="str">
            <v/>
          </cell>
          <cell r="H69" t="str">
            <v/>
          </cell>
          <cell r="I69" t="str">
            <v/>
          </cell>
          <cell r="J69" t="str">
            <v/>
          </cell>
        </row>
        <row r="70">
          <cell r="B70" t="str">
            <v>PS5303009</v>
          </cell>
          <cell r="C70" t="str">
            <v/>
          </cell>
          <cell r="D70" t="str">
            <v/>
          </cell>
          <cell r="E70" t="e">
            <v>#VALUE!</v>
          </cell>
          <cell r="F70" t="str">
            <v/>
          </cell>
          <cell r="G70" t="str">
            <v/>
          </cell>
          <cell r="H70" t="str">
            <v/>
          </cell>
          <cell r="I70" t="str">
            <v/>
          </cell>
          <cell r="J70" t="str">
            <v/>
          </cell>
        </row>
        <row r="71">
          <cell r="B71" t="str">
            <v>PS53030010</v>
          </cell>
          <cell r="C71" t="str">
            <v/>
          </cell>
          <cell r="D71" t="str">
            <v/>
          </cell>
          <cell r="E71" t="e">
            <v>#VALUE!</v>
          </cell>
          <cell r="F71" t="str">
            <v/>
          </cell>
          <cell r="G71" t="str">
            <v/>
          </cell>
          <cell r="H71" t="str">
            <v/>
          </cell>
          <cell r="I71" t="str">
            <v/>
          </cell>
          <cell r="J71" t="str">
            <v/>
          </cell>
        </row>
        <row r="72">
          <cell r="B72" t="str">
            <v>PS53030011</v>
          </cell>
          <cell r="C72" t="str">
            <v/>
          </cell>
          <cell r="D72" t="str">
            <v/>
          </cell>
          <cell r="E72" t="e">
            <v>#VALUE!</v>
          </cell>
          <cell r="F72" t="str">
            <v/>
          </cell>
          <cell r="G72" t="str">
            <v/>
          </cell>
          <cell r="H72" t="str">
            <v/>
          </cell>
          <cell r="I72" t="str">
            <v/>
          </cell>
          <cell r="J72" t="str">
            <v/>
          </cell>
        </row>
        <row r="73">
          <cell r="B73" t="str">
            <v>PS53030012</v>
          </cell>
          <cell r="C73" t="str">
            <v/>
          </cell>
          <cell r="D73" t="str">
            <v/>
          </cell>
          <cell r="E73" t="e">
            <v>#VALUE!</v>
          </cell>
          <cell r="F73" t="str">
            <v/>
          </cell>
          <cell r="G73" t="str">
            <v/>
          </cell>
          <cell r="H73" t="str">
            <v/>
          </cell>
          <cell r="I73" t="str">
            <v/>
          </cell>
          <cell r="J73" t="str">
            <v/>
          </cell>
        </row>
        <row r="74">
          <cell r="B74" t="str">
            <v>PS5302501</v>
          </cell>
          <cell r="C74">
            <v>1009150</v>
          </cell>
          <cell r="D74">
            <v>94050</v>
          </cell>
          <cell r="E74">
            <v>1103200</v>
          </cell>
          <cell r="F74">
            <v>8.5</v>
          </cell>
          <cell r="G74">
            <v>1103200</v>
          </cell>
          <cell r="H74">
            <v>1009150</v>
          </cell>
          <cell r="I74">
            <v>94050</v>
          </cell>
          <cell r="J74">
            <v>8.5</v>
          </cell>
        </row>
        <row r="75">
          <cell r="B75" t="str">
            <v>PS5302502</v>
          </cell>
          <cell r="C75">
            <v>1014800</v>
          </cell>
          <cell r="D75">
            <v>96330</v>
          </cell>
          <cell r="E75">
            <v>1111130</v>
          </cell>
          <cell r="F75">
            <v>8.6999999999999993</v>
          </cell>
          <cell r="G75">
            <v>1107160</v>
          </cell>
          <cell r="H75">
            <v>1011980</v>
          </cell>
          <cell r="I75">
            <v>95190</v>
          </cell>
          <cell r="J75">
            <v>8.5973790670389096</v>
          </cell>
        </row>
        <row r="76">
          <cell r="B76" t="str">
            <v>PS5302503</v>
          </cell>
          <cell r="C76">
            <v>1011080</v>
          </cell>
          <cell r="D76">
            <v>93940</v>
          </cell>
          <cell r="E76">
            <v>1105020</v>
          </cell>
          <cell r="F76">
            <v>8.5</v>
          </cell>
          <cell r="G76">
            <v>1106450</v>
          </cell>
          <cell r="H76">
            <v>1011680</v>
          </cell>
          <cell r="I76">
            <v>94770</v>
          </cell>
          <cell r="J76">
            <v>8.5653094603359765</v>
          </cell>
        </row>
        <row r="77">
          <cell r="B77" t="str">
            <v>PS5302504</v>
          </cell>
          <cell r="C77">
            <v>1000990</v>
          </cell>
          <cell r="D77">
            <v>87140</v>
          </cell>
          <cell r="E77">
            <v>1088130</v>
          </cell>
          <cell r="F77">
            <v>8</v>
          </cell>
          <cell r="G77">
            <v>1101870</v>
          </cell>
          <cell r="H77">
            <v>1009000</v>
          </cell>
          <cell r="I77">
            <v>92860</v>
          </cell>
          <cell r="J77">
            <v>8.4277620557285822</v>
          </cell>
        </row>
        <row r="78">
          <cell r="B78" t="str">
            <v>PS5302505</v>
          </cell>
          <cell r="C78">
            <v>1006830</v>
          </cell>
          <cell r="D78">
            <v>87300</v>
          </cell>
          <cell r="E78">
            <v>1094130</v>
          </cell>
          <cell r="F78">
            <v>8</v>
          </cell>
          <cell r="G78">
            <v>1100320</v>
          </cell>
          <cell r="H78">
            <v>1008570</v>
          </cell>
          <cell r="I78">
            <v>91750</v>
          </cell>
          <cell r="J78">
            <v>8.3384318519819143</v>
          </cell>
        </row>
        <row r="79">
          <cell r="B79" t="str">
            <v>PS5302506</v>
          </cell>
          <cell r="C79">
            <v>1006070</v>
          </cell>
          <cell r="D79">
            <v>97520</v>
          </cell>
          <cell r="E79">
            <v>1103590</v>
          </cell>
          <cell r="F79">
            <v>8.8000000000000007</v>
          </cell>
          <cell r="G79">
            <v>1100870</v>
          </cell>
          <cell r="H79">
            <v>1008150</v>
          </cell>
          <cell r="I79">
            <v>92710</v>
          </cell>
          <cell r="J79">
            <v>8.421709531185396</v>
          </cell>
        </row>
        <row r="80">
          <cell r="B80" t="str">
            <v>PS5302507</v>
          </cell>
          <cell r="C80">
            <v>1005280</v>
          </cell>
          <cell r="D80">
            <v>95100</v>
          </cell>
          <cell r="E80">
            <v>1100380</v>
          </cell>
          <cell r="F80">
            <v>8.6</v>
          </cell>
          <cell r="G80">
            <v>1100800</v>
          </cell>
          <cell r="H80">
            <v>1007740</v>
          </cell>
          <cell r="I80">
            <v>93050</v>
          </cell>
          <cell r="J80">
            <v>8.4532432686723578</v>
          </cell>
        </row>
        <row r="81">
          <cell r="B81" t="str">
            <v>PS5302508</v>
          </cell>
          <cell r="C81" t="str">
            <v/>
          </cell>
          <cell r="D81" t="str">
            <v/>
          </cell>
          <cell r="E81" t="e">
            <v>#VALUE!</v>
          </cell>
          <cell r="F81" t="str">
            <v/>
          </cell>
          <cell r="G81" t="str">
            <v/>
          </cell>
          <cell r="H81" t="str">
            <v/>
          </cell>
          <cell r="I81" t="str">
            <v/>
          </cell>
          <cell r="J81" t="str">
            <v/>
          </cell>
        </row>
        <row r="82">
          <cell r="B82" t="str">
            <v>PS5302509</v>
          </cell>
          <cell r="C82" t="str">
            <v/>
          </cell>
          <cell r="D82" t="str">
            <v/>
          </cell>
          <cell r="E82" t="e">
            <v>#VALUE!</v>
          </cell>
          <cell r="F82" t="str">
            <v/>
          </cell>
          <cell r="G82" t="str">
            <v/>
          </cell>
          <cell r="H82" t="str">
            <v/>
          </cell>
          <cell r="I82" t="str">
            <v/>
          </cell>
          <cell r="J82" t="str">
            <v/>
          </cell>
        </row>
        <row r="83">
          <cell r="B83" t="str">
            <v>PS53025010</v>
          </cell>
          <cell r="C83" t="str">
            <v/>
          </cell>
          <cell r="D83" t="str">
            <v/>
          </cell>
          <cell r="E83" t="e">
            <v>#VALUE!</v>
          </cell>
          <cell r="F83" t="str">
            <v/>
          </cell>
          <cell r="G83" t="str">
            <v/>
          </cell>
          <cell r="H83" t="str">
            <v/>
          </cell>
          <cell r="I83" t="str">
            <v/>
          </cell>
          <cell r="J83" t="str">
            <v/>
          </cell>
        </row>
        <row r="84">
          <cell r="B84" t="str">
            <v>PS53025011</v>
          </cell>
          <cell r="C84" t="str">
            <v/>
          </cell>
          <cell r="D84" t="str">
            <v/>
          </cell>
          <cell r="E84" t="e">
            <v>#VALUE!</v>
          </cell>
          <cell r="F84" t="str">
            <v/>
          </cell>
          <cell r="G84" t="str">
            <v/>
          </cell>
          <cell r="H84" t="str">
            <v/>
          </cell>
          <cell r="I84" t="str">
            <v/>
          </cell>
          <cell r="J84" t="str">
            <v/>
          </cell>
        </row>
        <row r="85">
          <cell r="B85" t="str">
            <v>PS53025012</v>
          </cell>
          <cell r="C85" t="str">
            <v/>
          </cell>
          <cell r="D85" t="str">
            <v/>
          </cell>
          <cell r="E85" t="e">
            <v>#VALUE!</v>
          </cell>
          <cell r="F85" t="str">
            <v/>
          </cell>
          <cell r="G85" t="str">
            <v/>
          </cell>
          <cell r="H85" t="str">
            <v/>
          </cell>
          <cell r="I85" t="str">
            <v/>
          </cell>
          <cell r="J85" t="str">
            <v/>
          </cell>
        </row>
        <row r="86">
          <cell r="B86" t="str">
            <v>PA5308501</v>
          </cell>
          <cell r="C86">
            <v>89120</v>
          </cell>
          <cell r="D86">
            <v>10120</v>
          </cell>
          <cell r="E86">
            <v>99240</v>
          </cell>
          <cell r="F86">
            <v>10.199999999999999</v>
          </cell>
          <cell r="G86">
            <v>99230</v>
          </cell>
          <cell r="H86">
            <v>89120</v>
          </cell>
          <cell r="I86">
            <v>10120</v>
          </cell>
          <cell r="J86">
            <v>10.199999999999999</v>
          </cell>
        </row>
        <row r="87">
          <cell r="B87" t="str">
            <v>PA5308502</v>
          </cell>
          <cell r="C87">
            <v>88500</v>
          </cell>
          <cell r="D87">
            <v>10170</v>
          </cell>
          <cell r="E87">
            <v>98670</v>
          </cell>
          <cell r="F87">
            <v>10.3</v>
          </cell>
          <cell r="G87">
            <v>98950</v>
          </cell>
          <cell r="H87">
            <v>88810</v>
          </cell>
          <cell r="I87">
            <v>10150</v>
          </cell>
          <cell r="J87">
            <v>10.253404411207399</v>
          </cell>
        </row>
        <row r="88">
          <cell r="B88" t="str">
            <v>PA5308503</v>
          </cell>
          <cell r="C88">
            <v>88630</v>
          </cell>
          <cell r="D88">
            <v>10280</v>
          </cell>
          <cell r="E88">
            <v>98910</v>
          </cell>
          <cell r="F88">
            <v>10.4</v>
          </cell>
          <cell r="G88">
            <v>98940</v>
          </cell>
          <cell r="H88">
            <v>88750</v>
          </cell>
          <cell r="I88">
            <v>10190</v>
          </cell>
          <cell r="J88">
            <v>10.300018530060811</v>
          </cell>
        </row>
        <row r="89">
          <cell r="B89" t="str">
            <v>PA5308504</v>
          </cell>
          <cell r="C89">
            <v>88470</v>
          </cell>
          <cell r="D89">
            <v>9530</v>
          </cell>
          <cell r="E89">
            <v>98000</v>
          </cell>
          <cell r="F89">
            <v>9.6999999999999993</v>
          </cell>
          <cell r="G89">
            <v>98700</v>
          </cell>
          <cell r="H89">
            <v>88680</v>
          </cell>
          <cell r="I89">
            <v>10030</v>
          </cell>
          <cell r="J89">
            <v>10.157110762707786</v>
          </cell>
        </row>
        <row r="90">
          <cell r="B90" t="str">
            <v>PA5308505</v>
          </cell>
          <cell r="C90">
            <v>89390</v>
          </cell>
          <cell r="D90">
            <v>9610</v>
          </cell>
          <cell r="E90">
            <v>99000</v>
          </cell>
          <cell r="F90">
            <v>9.6999999999999993</v>
          </cell>
          <cell r="G90">
            <v>98760</v>
          </cell>
          <cell r="H90">
            <v>88820</v>
          </cell>
          <cell r="I90">
            <v>9940</v>
          </cell>
          <cell r="J90">
            <v>10.067494638702192</v>
          </cell>
        </row>
        <row r="91">
          <cell r="B91" t="str">
            <v>PA5308506</v>
          </cell>
          <cell r="C91">
            <v>87620</v>
          </cell>
          <cell r="D91">
            <v>9960</v>
          </cell>
          <cell r="E91">
            <v>97580</v>
          </cell>
          <cell r="F91">
            <v>10.199999999999999</v>
          </cell>
          <cell r="G91">
            <v>98570</v>
          </cell>
          <cell r="H91">
            <v>88620</v>
          </cell>
          <cell r="I91">
            <v>9950</v>
          </cell>
          <cell r="J91">
            <v>10.091004704107895</v>
          </cell>
        </row>
        <row r="92">
          <cell r="B92" t="str">
            <v>PA5308507</v>
          </cell>
          <cell r="C92">
            <v>86280</v>
          </cell>
          <cell r="D92">
            <v>9740</v>
          </cell>
          <cell r="E92">
            <v>96020</v>
          </cell>
          <cell r="F92">
            <v>10.1</v>
          </cell>
          <cell r="G92">
            <v>98200</v>
          </cell>
          <cell r="H92">
            <v>88290</v>
          </cell>
          <cell r="I92">
            <v>9920</v>
          </cell>
          <cell r="J92">
            <v>10.098005129376372</v>
          </cell>
        </row>
        <row r="93">
          <cell r="B93" t="str">
            <v>PA5308508</v>
          </cell>
          <cell r="C93" t="str">
            <v/>
          </cell>
          <cell r="D93" t="str">
            <v/>
          </cell>
          <cell r="E93" t="e">
            <v>#VALUE!</v>
          </cell>
          <cell r="F93" t="str">
            <v/>
          </cell>
          <cell r="G93" t="str">
            <v/>
          </cell>
          <cell r="H93" t="str">
            <v/>
          </cell>
          <cell r="I93" t="str">
            <v/>
          </cell>
          <cell r="J93" t="str">
            <v/>
          </cell>
        </row>
        <row r="94">
          <cell r="B94" t="str">
            <v>PA5308509</v>
          </cell>
          <cell r="C94" t="str">
            <v/>
          </cell>
          <cell r="D94" t="str">
            <v/>
          </cell>
          <cell r="E94" t="e">
            <v>#VALUE!</v>
          </cell>
          <cell r="F94" t="str">
            <v/>
          </cell>
          <cell r="G94" t="str">
            <v/>
          </cell>
          <cell r="H94" t="str">
            <v/>
          </cell>
          <cell r="I94" t="str">
            <v/>
          </cell>
          <cell r="J94" t="str">
            <v/>
          </cell>
        </row>
        <row r="95">
          <cell r="B95" t="str">
            <v>PA53085010</v>
          </cell>
          <cell r="C95" t="str">
            <v/>
          </cell>
          <cell r="D95" t="str">
            <v/>
          </cell>
          <cell r="E95" t="e">
            <v>#VALUE!</v>
          </cell>
          <cell r="F95" t="str">
            <v/>
          </cell>
          <cell r="G95" t="str">
            <v/>
          </cell>
          <cell r="H95" t="str">
            <v/>
          </cell>
          <cell r="I95" t="str">
            <v/>
          </cell>
          <cell r="J95" t="str">
            <v/>
          </cell>
        </row>
        <row r="96">
          <cell r="B96" t="str">
            <v>PA53085011</v>
          </cell>
          <cell r="C96" t="str">
            <v/>
          </cell>
          <cell r="D96" t="str">
            <v/>
          </cell>
          <cell r="E96" t="e">
            <v>#VALUE!</v>
          </cell>
          <cell r="F96" t="str">
            <v/>
          </cell>
          <cell r="G96" t="str">
            <v/>
          </cell>
          <cell r="H96" t="str">
            <v/>
          </cell>
          <cell r="I96" t="str">
            <v/>
          </cell>
          <cell r="J96" t="str">
            <v/>
          </cell>
        </row>
        <row r="97">
          <cell r="B97" t="str">
            <v>PA53085012</v>
          </cell>
          <cell r="C97" t="str">
            <v/>
          </cell>
          <cell r="D97" t="str">
            <v/>
          </cell>
          <cell r="E97" t="e">
            <v>#VALUE!</v>
          </cell>
          <cell r="F97" t="str">
            <v/>
          </cell>
          <cell r="G97" t="str">
            <v/>
          </cell>
          <cell r="H97" t="str">
            <v/>
          </cell>
          <cell r="I97" t="str">
            <v/>
          </cell>
          <cell r="J97" t="str">
            <v/>
          </cell>
        </row>
        <row r="98">
          <cell r="B98" t="str">
            <v>PA5304001</v>
          </cell>
          <cell r="C98">
            <v>86580</v>
          </cell>
          <cell r="D98">
            <v>7470</v>
          </cell>
          <cell r="E98">
            <v>94050</v>
          </cell>
          <cell r="F98">
            <v>7.9</v>
          </cell>
          <cell r="G98">
            <v>94040</v>
          </cell>
          <cell r="H98">
            <v>86580</v>
          </cell>
          <cell r="I98">
            <v>7470</v>
          </cell>
          <cell r="J98">
            <v>7.9</v>
          </cell>
        </row>
        <row r="99">
          <cell r="B99" t="str">
            <v>PA5304002</v>
          </cell>
          <cell r="C99">
            <v>86900</v>
          </cell>
          <cell r="D99">
            <v>7310</v>
          </cell>
          <cell r="E99">
            <v>94210</v>
          </cell>
          <cell r="F99">
            <v>7.8</v>
          </cell>
          <cell r="G99">
            <v>94120</v>
          </cell>
          <cell r="H99">
            <v>86740</v>
          </cell>
          <cell r="I99">
            <v>7390</v>
          </cell>
          <cell r="J99">
            <v>7.8497930909921534</v>
          </cell>
        </row>
        <row r="100">
          <cell r="B100" t="str">
            <v>PA5304003</v>
          </cell>
          <cell r="C100">
            <v>88050</v>
          </cell>
          <cell r="D100">
            <v>7280</v>
          </cell>
          <cell r="E100">
            <v>95330</v>
          </cell>
          <cell r="F100">
            <v>7.6</v>
          </cell>
          <cell r="G100">
            <v>94520</v>
          </cell>
          <cell r="H100">
            <v>87170</v>
          </cell>
          <cell r="I100">
            <v>7350</v>
          </cell>
          <cell r="J100">
            <v>7.7764534125131357</v>
          </cell>
        </row>
        <row r="101">
          <cell r="B101" t="str">
            <v>PA5304004</v>
          </cell>
          <cell r="C101">
            <v>88330</v>
          </cell>
          <cell r="D101">
            <v>6490</v>
          </cell>
          <cell r="E101">
            <v>94820</v>
          </cell>
          <cell r="F101">
            <v>6.8</v>
          </cell>
          <cell r="G101">
            <v>94600</v>
          </cell>
          <cell r="H101">
            <v>87460</v>
          </cell>
          <cell r="I101">
            <v>7140</v>
          </cell>
          <cell r="J101">
            <v>7.5429314418304738</v>
          </cell>
        </row>
        <row r="102">
          <cell r="B102" t="str">
            <v>PA5304005</v>
          </cell>
          <cell r="C102">
            <v>88770</v>
          </cell>
          <cell r="D102">
            <v>6640</v>
          </cell>
          <cell r="E102">
            <v>95410</v>
          </cell>
          <cell r="F102">
            <v>7</v>
          </cell>
          <cell r="G102">
            <v>94760</v>
          </cell>
          <cell r="H102">
            <v>87720</v>
          </cell>
          <cell r="I102">
            <v>7040</v>
          </cell>
          <cell r="J102">
            <v>7.4244563622970912</v>
          </cell>
        </row>
        <row r="103">
          <cell r="B103" t="str">
            <v>PA5304006</v>
          </cell>
          <cell r="C103">
            <v>92020</v>
          </cell>
          <cell r="D103">
            <v>6940</v>
          </cell>
          <cell r="E103">
            <v>98960</v>
          </cell>
          <cell r="F103">
            <v>7</v>
          </cell>
          <cell r="G103">
            <v>95460</v>
          </cell>
          <cell r="H103">
            <v>88440</v>
          </cell>
          <cell r="I103">
            <v>7020</v>
          </cell>
          <cell r="J103">
            <v>7.3525200958174164</v>
          </cell>
        </row>
        <row r="104">
          <cell r="B104" t="str">
            <v>PA5304007</v>
          </cell>
          <cell r="C104">
            <v>90040</v>
          </cell>
          <cell r="D104">
            <v>6760</v>
          </cell>
          <cell r="E104">
            <v>96800</v>
          </cell>
          <cell r="F104">
            <v>7</v>
          </cell>
          <cell r="G104">
            <v>95650</v>
          </cell>
          <cell r="H104">
            <v>88670</v>
          </cell>
          <cell r="I104">
            <v>6980</v>
          </cell>
          <cell r="J104">
            <v>7.2994314167982219</v>
          </cell>
        </row>
        <row r="105">
          <cell r="B105" t="str">
            <v>PA5304008</v>
          </cell>
          <cell r="C105" t="str">
            <v/>
          </cell>
          <cell r="D105" t="str">
            <v/>
          </cell>
          <cell r="E105" t="e">
            <v>#VALUE!</v>
          </cell>
          <cell r="F105" t="str">
            <v/>
          </cell>
          <cell r="G105" t="str">
            <v/>
          </cell>
          <cell r="H105" t="str">
            <v/>
          </cell>
          <cell r="I105" t="str">
            <v/>
          </cell>
          <cell r="J105" t="str">
            <v/>
          </cell>
        </row>
        <row r="106">
          <cell r="B106" t="str">
            <v>PA5304009</v>
          </cell>
          <cell r="C106" t="str">
            <v/>
          </cell>
          <cell r="D106" t="str">
            <v/>
          </cell>
          <cell r="E106" t="e">
            <v>#VALUE!</v>
          </cell>
          <cell r="F106" t="str">
            <v/>
          </cell>
          <cell r="G106" t="str">
            <v/>
          </cell>
          <cell r="H106" t="str">
            <v/>
          </cell>
          <cell r="I106" t="str">
            <v/>
          </cell>
          <cell r="J106" t="str">
            <v/>
          </cell>
        </row>
        <row r="107">
          <cell r="B107" t="str">
            <v>PA53040010</v>
          </cell>
          <cell r="C107" t="str">
            <v/>
          </cell>
          <cell r="D107" t="str">
            <v/>
          </cell>
          <cell r="E107" t="e">
            <v>#VALUE!</v>
          </cell>
          <cell r="F107" t="str">
            <v/>
          </cell>
          <cell r="G107" t="str">
            <v/>
          </cell>
          <cell r="H107" t="str">
            <v/>
          </cell>
          <cell r="I107" t="str">
            <v/>
          </cell>
          <cell r="J107" t="str">
            <v/>
          </cell>
        </row>
        <row r="108">
          <cell r="B108" t="str">
            <v>PA53040011</v>
          </cell>
          <cell r="C108" t="str">
            <v/>
          </cell>
          <cell r="D108" t="str">
            <v/>
          </cell>
          <cell r="E108" t="e">
            <v>#VALUE!</v>
          </cell>
          <cell r="F108" t="str">
            <v/>
          </cell>
          <cell r="G108" t="str">
            <v/>
          </cell>
          <cell r="H108" t="str">
            <v/>
          </cell>
          <cell r="I108" t="str">
            <v/>
          </cell>
          <cell r="J108" t="str">
            <v/>
          </cell>
        </row>
        <row r="109">
          <cell r="B109" t="str">
            <v>PA53040012</v>
          </cell>
          <cell r="C109" t="str">
            <v/>
          </cell>
          <cell r="D109" t="str">
            <v/>
          </cell>
          <cell r="E109" t="e">
            <v>#VALUE!</v>
          </cell>
          <cell r="F109" t="str">
            <v/>
          </cell>
          <cell r="G109" t="str">
            <v/>
          </cell>
          <cell r="H109" t="str">
            <v/>
          </cell>
          <cell r="I109" t="str">
            <v/>
          </cell>
          <cell r="J109" t="str">
            <v/>
          </cell>
        </row>
        <row r="110">
          <cell r="B110" t="str">
            <v>PA5303001</v>
          </cell>
          <cell r="C110">
            <v>91930</v>
          </cell>
          <cell r="D110">
            <v>10760</v>
          </cell>
          <cell r="E110">
            <v>102690</v>
          </cell>
          <cell r="F110">
            <v>10.5</v>
          </cell>
          <cell r="G110">
            <v>102690</v>
          </cell>
          <cell r="H110">
            <v>91930</v>
          </cell>
          <cell r="I110">
            <v>10760</v>
          </cell>
          <cell r="J110">
            <v>10.5</v>
          </cell>
        </row>
        <row r="111">
          <cell r="B111" t="str">
            <v>PA5303002</v>
          </cell>
          <cell r="C111">
            <v>91930</v>
          </cell>
          <cell r="D111">
            <v>10990</v>
          </cell>
          <cell r="E111">
            <v>102920</v>
          </cell>
          <cell r="F111">
            <v>10.7</v>
          </cell>
          <cell r="G111">
            <v>102810</v>
          </cell>
          <cell r="H111">
            <v>91930</v>
          </cell>
          <cell r="I111">
            <v>10870</v>
          </cell>
          <cell r="J111">
            <v>10.577306551237781</v>
          </cell>
        </row>
        <row r="112">
          <cell r="B112" t="str">
            <v>PA5303003</v>
          </cell>
          <cell r="C112">
            <v>92060</v>
          </cell>
          <cell r="D112">
            <v>10940</v>
          </cell>
          <cell r="E112">
            <v>103000</v>
          </cell>
          <cell r="F112">
            <v>10.6</v>
          </cell>
          <cell r="G112">
            <v>102870</v>
          </cell>
          <cell r="H112">
            <v>91970</v>
          </cell>
          <cell r="I112">
            <v>10900</v>
          </cell>
          <cell r="J112">
            <v>10.592180943277004</v>
          </cell>
        </row>
        <row r="113">
          <cell r="B113" t="str">
            <v>PA5303004</v>
          </cell>
          <cell r="C113">
            <v>93120</v>
          </cell>
          <cell r="D113">
            <v>9530</v>
          </cell>
          <cell r="E113">
            <v>102650</v>
          </cell>
          <cell r="F113">
            <v>9.3000000000000007</v>
          </cell>
          <cell r="G113">
            <v>102810</v>
          </cell>
          <cell r="H113">
            <v>92260</v>
          </cell>
          <cell r="I113">
            <v>10550</v>
          </cell>
          <cell r="J113">
            <v>10.264677633098685</v>
          </cell>
        </row>
        <row r="114">
          <cell r="B114" t="str">
            <v>PA5303005</v>
          </cell>
          <cell r="C114">
            <v>92950</v>
          </cell>
          <cell r="D114">
            <v>9430</v>
          </cell>
          <cell r="E114">
            <v>102380</v>
          </cell>
          <cell r="F114">
            <v>9.1999999999999993</v>
          </cell>
          <cell r="G114">
            <v>102730</v>
          </cell>
          <cell r="H114">
            <v>92400</v>
          </cell>
          <cell r="I114">
            <v>10330</v>
          </cell>
          <cell r="J114">
            <v>10.054416073670993</v>
          </cell>
        </row>
        <row r="115">
          <cell r="B115" t="str">
            <v>PA5303006</v>
          </cell>
          <cell r="C115">
            <v>91610</v>
          </cell>
          <cell r="D115">
            <v>9410</v>
          </cell>
          <cell r="E115">
            <v>101020</v>
          </cell>
          <cell r="F115">
            <v>9.3000000000000007</v>
          </cell>
          <cell r="G115">
            <v>102440</v>
          </cell>
          <cell r="H115">
            <v>92270</v>
          </cell>
          <cell r="I115">
            <v>10180</v>
          </cell>
          <cell r="J115">
            <v>9.9326607543492287</v>
          </cell>
        </row>
        <row r="116">
          <cell r="B116" t="str">
            <v>PA5303007</v>
          </cell>
          <cell r="C116">
            <v>92440</v>
          </cell>
          <cell r="D116">
            <v>9110</v>
          </cell>
          <cell r="E116">
            <v>101550</v>
          </cell>
          <cell r="F116">
            <v>9</v>
          </cell>
          <cell r="G116">
            <v>102310</v>
          </cell>
          <cell r="H116">
            <v>92290</v>
          </cell>
          <cell r="I116">
            <v>10020</v>
          </cell>
          <cell r="J116">
            <v>9.7961326499125256</v>
          </cell>
        </row>
        <row r="117">
          <cell r="B117" t="str">
            <v>PA5303008</v>
          </cell>
          <cell r="C117" t="str">
            <v/>
          </cell>
          <cell r="D117" t="str">
            <v/>
          </cell>
          <cell r="E117" t="e">
            <v>#VALUE!</v>
          </cell>
          <cell r="F117" t="str">
            <v/>
          </cell>
          <cell r="G117" t="str">
            <v/>
          </cell>
          <cell r="H117" t="str">
            <v/>
          </cell>
          <cell r="I117" t="str">
            <v/>
          </cell>
          <cell r="J117" t="str">
            <v/>
          </cell>
        </row>
        <row r="118">
          <cell r="B118" t="str">
            <v>PA5303009</v>
          </cell>
          <cell r="C118" t="str">
            <v/>
          </cell>
          <cell r="D118" t="str">
            <v/>
          </cell>
          <cell r="E118" t="e">
            <v>#VALUE!</v>
          </cell>
          <cell r="F118" t="str">
            <v/>
          </cell>
          <cell r="G118" t="str">
            <v/>
          </cell>
          <cell r="H118" t="str">
            <v/>
          </cell>
          <cell r="I118" t="str">
            <v/>
          </cell>
          <cell r="J118" t="str">
            <v/>
          </cell>
        </row>
        <row r="119">
          <cell r="B119" t="str">
            <v>PA53030010</v>
          </cell>
          <cell r="C119" t="str">
            <v/>
          </cell>
          <cell r="D119" t="str">
            <v/>
          </cell>
          <cell r="E119" t="e">
            <v>#VALUE!</v>
          </cell>
          <cell r="F119" t="str">
            <v/>
          </cell>
          <cell r="G119" t="str">
            <v/>
          </cell>
          <cell r="H119" t="str">
            <v/>
          </cell>
          <cell r="I119" t="str">
            <v/>
          </cell>
          <cell r="J119" t="str">
            <v/>
          </cell>
        </row>
        <row r="120">
          <cell r="B120" t="str">
            <v>PA53030011</v>
          </cell>
          <cell r="C120" t="str">
            <v/>
          </cell>
          <cell r="D120" t="str">
            <v/>
          </cell>
          <cell r="E120" t="e">
            <v>#VALUE!</v>
          </cell>
          <cell r="F120" t="str">
            <v/>
          </cell>
          <cell r="G120" t="str">
            <v/>
          </cell>
          <cell r="H120" t="str">
            <v/>
          </cell>
          <cell r="I120" t="str">
            <v/>
          </cell>
          <cell r="J120" t="str">
            <v/>
          </cell>
        </row>
        <row r="121">
          <cell r="B121" t="str">
            <v>PA53030012</v>
          </cell>
          <cell r="C121" t="str">
            <v/>
          </cell>
          <cell r="D121" t="str">
            <v/>
          </cell>
          <cell r="E121" t="e">
            <v>#VALUE!</v>
          </cell>
          <cell r="F121" t="str">
            <v/>
          </cell>
          <cell r="G121" t="str">
            <v/>
          </cell>
          <cell r="H121" t="str">
            <v/>
          </cell>
          <cell r="I121" t="str">
            <v/>
          </cell>
          <cell r="J121" t="str">
            <v/>
          </cell>
        </row>
        <row r="122">
          <cell r="B122" t="str">
            <v>PA5302501</v>
          </cell>
          <cell r="C122">
            <v>45180</v>
          </cell>
          <cell r="D122">
            <v>5550</v>
          </cell>
          <cell r="E122">
            <v>50730</v>
          </cell>
          <cell r="F122">
            <v>10.9</v>
          </cell>
          <cell r="G122">
            <v>50730</v>
          </cell>
          <cell r="H122">
            <v>45180</v>
          </cell>
          <cell r="I122">
            <v>5550</v>
          </cell>
          <cell r="J122">
            <v>10.9</v>
          </cell>
        </row>
        <row r="123">
          <cell r="B123" t="str">
            <v>PA5302502</v>
          </cell>
          <cell r="C123">
            <v>45430</v>
          </cell>
          <cell r="D123">
            <v>5690</v>
          </cell>
          <cell r="E123">
            <v>51120</v>
          </cell>
          <cell r="F123">
            <v>11.1</v>
          </cell>
          <cell r="G123">
            <v>50930</v>
          </cell>
          <cell r="H123">
            <v>45310</v>
          </cell>
          <cell r="I123">
            <v>5620</v>
          </cell>
          <cell r="J123">
            <v>11.032891507118311</v>
          </cell>
        </row>
        <row r="124">
          <cell r="B124" t="str">
            <v>PA5302503</v>
          </cell>
          <cell r="C124">
            <v>45270</v>
          </cell>
          <cell r="D124">
            <v>5560</v>
          </cell>
          <cell r="E124">
            <v>50830</v>
          </cell>
          <cell r="F124">
            <v>10.9</v>
          </cell>
          <cell r="G124">
            <v>50890</v>
          </cell>
          <cell r="H124">
            <v>45290</v>
          </cell>
          <cell r="I124">
            <v>5600</v>
          </cell>
          <cell r="J124">
            <v>11.002240008383657</v>
          </cell>
        </row>
        <row r="125">
          <cell r="B125" t="str">
            <v>PA5302504</v>
          </cell>
          <cell r="C125">
            <v>44820</v>
          </cell>
          <cell r="D125">
            <v>5090</v>
          </cell>
          <cell r="E125">
            <v>49910</v>
          </cell>
          <cell r="F125">
            <v>10.199999999999999</v>
          </cell>
          <cell r="G125">
            <v>50650</v>
          </cell>
          <cell r="H125">
            <v>45170</v>
          </cell>
          <cell r="I125">
            <v>5470</v>
          </cell>
          <cell r="J125">
            <v>10.805781248457444</v>
          </cell>
        </row>
        <row r="126">
          <cell r="B126" t="str">
            <v>PA5302505</v>
          </cell>
          <cell r="C126">
            <v>45080</v>
          </cell>
          <cell r="D126">
            <v>5140</v>
          </cell>
          <cell r="E126">
            <v>50220</v>
          </cell>
          <cell r="F126">
            <v>10.199999999999999</v>
          </cell>
          <cell r="G126">
            <v>50560</v>
          </cell>
          <cell r="H126">
            <v>45150</v>
          </cell>
          <cell r="I126">
            <v>5410</v>
          </cell>
          <cell r="J126">
            <v>10.692911080960272</v>
          </cell>
        </row>
        <row r="127">
          <cell r="B127" t="str">
            <v>PA5302506</v>
          </cell>
          <cell r="C127">
            <v>45040</v>
          </cell>
          <cell r="D127">
            <v>5590</v>
          </cell>
          <cell r="E127">
            <v>50630</v>
          </cell>
          <cell r="F127">
            <v>11</v>
          </cell>
          <cell r="G127">
            <v>50570</v>
          </cell>
          <cell r="H127">
            <v>45140</v>
          </cell>
          <cell r="I127">
            <v>5440</v>
          </cell>
          <cell r="J127">
            <v>10.749725637789151</v>
          </cell>
        </row>
        <row r="128">
          <cell r="B128" t="str">
            <v>PA5302507</v>
          </cell>
          <cell r="C128">
            <v>45010</v>
          </cell>
          <cell r="D128">
            <v>5550</v>
          </cell>
          <cell r="E128">
            <v>50560</v>
          </cell>
          <cell r="F128">
            <v>11</v>
          </cell>
          <cell r="G128">
            <v>50570</v>
          </cell>
          <cell r="H128">
            <v>45120</v>
          </cell>
          <cell r="I128">
            <v>5450</v>
          </cell>
          <cell r="J128">
            <v>10.781530290831531</v>
          </cell>
        </row>
        <row r="129">
          <cell r="B129" t="str">
            <v>PA5302508</v>
          </cell>
          <cell r="C129" t="str">
            <v/>
          </cell>
          <cell r="D129" t="str">
            <v/>
          </cell>
          <cell r="E129" t="e">
            <v>#VALUE!</v>
          </cell>
          <cell r="F129" t="str">
            <v/>
          </cell>
          <cell r="G129" t="str">
            <v/>
          </cell>
          <cell r="H129" t="str">
            <v/>
          </cell>
          <cell r="I129" t="str">
            <v/>
          </cell>
          <cell r="J129" t="str">
            <v/>
          </cell>
        </row>
        <row r="130">
          <cell r="B130" t="str">
            <v>PA5302509</v>
          </cell>
          <cell r="C130" t="str">
            <v/>
          </cell>
          <cell r="D130" t="str">
            <v/>
          </cell>
          <cell r="E130" t="e">
            <v>#VALUE!</v>
          </cell>
          <cell r="F130" t="str">
            <v/>
          </cell>
          <cell r="G130" t="str">
            <v/>
          </cell>
          <cell r="H130" t="str">
            <v/>
          </cell>
          <cell r="I130" t="str">
            <v/>
          </cell>
          <cell r="J130" t="str">
            <v/>
          </cell>
        </row>
        <row r="131">
          <cell r="B131" t="str">
            <v>PA53025010</v>
          </cell>
          <cell r="C131" t="str">
            <v/>
          </cell>
          <cell r="D131" t="str">
            <v/>
          </cell>
          <cell r="E131" t="e">
            <v>#VALUE!</v>
          </cell>
          <cell r="F131" t="str">
            <v/>
          </cell>
          <cell r="G131" t="str">
            <v/>
          </cell>
          <cell r="H131" t="str">
            <v/>
          </cell>
          <cell r="I131" t="str">
            <v/>
          </cell>
          <cell r="J131" t="str">
            <v/>
          </cell>
        </row>
        <row r="132">
          <cell r="B132" t="str">
            <v>PA53025011</v>
          </cell>
          <cell r="C132" t="str">
            <v/>
          </cell>
          <cell r="D132" t="str">
            <v/>
          </cell>
          <cell r="E132" t="e">
            <v>#VALUE!</v>
          </cell>
          <cell r="F132" t="str">
            <v/>
          </cell>
          <cell r="G132" t="str">
            <v/>
          </cell>
          <cell r="H132" t="str">
            <v/>
          </cell>
          <cell r="I132" t="str">
            <v/>
          </cell>
          <cell r="J132" t="str">
            <v/>
          </cell>
        </row>
        <row r="133">
          <cell r="B133" t="str">
            <v>PA53025012</v>
          </cell>
          <cell r="C133" t="str">
            <v/>
          </cell>
          <cell r="D133" t="str">
            <v/>
          </cell>
          <cell r="E133" t="e">
            <v>#VALUE!</v>
          </cell>
          <cell r="F133" t="str">
            <v/>
          </cell>
          <cell r="G133" t="str">
            <v/>
          </cell>
          <cell r="H133" t="str">
            <v/>
          </cell>
          <cell r="I133" t="str">
            <v/>
          </cell>
          <cell r="J133" t="str">
            <v/>
          </cell>
        </row>
        <row r="134">
          <cell r="B134" t="str">
            <v>PA5302001</v>
          </cell>
          <cell r="C134">
            <v>65320</v>
          </cell>
          <cell r="D134">
            <v>4920</v>
          </cell>
          <cell r="E134">
            <v>70240</v>
          </cell>
          <cell r="F134">
            <v>7</v>
          </cell>
          <cell r="G134">
            <v>70240</v>
          </cell>
          <cell r="H134">
            <v>65320</v>
          </cell>
          <cell r="I134">
            <v>4920</v>
          </cell>
          <cell r="J134">
            <v>7</v>
          </cell>
        </row>
        <row r="135">
          <cell r="B135" t="str">
            <v>PA5302002</v>
          </cell>
          <cell r="C135">
            <v>65690</v>
          </cell>
          <cell r="D135">
            <v>5190</v>
          </cell>
          <cell r="E135">
            <v>70880</v>
          </cell>
          <cell r="F135">
            <v>7.3</v>
          </cell>
          <cell r="G135">
            <v>70560</v>
          </cell>
          <cell r="H135">
            <v>65510</v>
          </cell>
          <cell r="I135">
            <v>5060</v>
          </cell>
          <cell r="J135">
            <v>7.1641156462585034</v>
          </cell>
        </row>
        <row r="136">
          <cell r="B136" t="str">
            <v>PA5302003</v>
          </cell>
          <cell r="C136">
            <v>65450</v>
          </cell>
          <cell r="D136">
            <v>5060</v>
          </cell>
          <cell r="E136">
            <v>70510</v>
          </cell>
          <cell r="F136">
            <v>7.2</v>
          </cell>
          <cell r="G136">
            <v>70540</v>
          </cell>
          <cell r="H136">
            <v>65490</v>
          </cell>
          <cell r="I136">
            <v>5060</v>
          </cell>
          <cell r="J136">
            <v>7.1669564888670472</v>
          </cell>
        </row>
        <row r="137">
          <cell r="B137" t="str">
            <v>PA5302004</v>
          </cell>
          <cell r="C137">
            <v>64790</v>
          </cell>
          <cell r="D137">
            <v>4530</v>
          </cell>
          <cell r="E137">
            <v>69320</v>
          </cell>
          <cell r="F137">
            <v>6.5</v>
          </cell>
          <cell r="G137">
            <v>70240</v>
          </cell>
          <cell r="H137">
            <v>65310</v>
          </cell>
          <cell r="I137">
            <v>4930</v>
          </cell>
          <cell r="J137">
            <v>7.0118988720453039</v>
          </cell>
        </row>
        <row r="138">
          <cell r="B138" t="str">
            <v>PA5302005</v>
          </cell>
          <cell r="C138">
            <v>65170</v>
          </cell>
          <cell r="D138">
            <v>4580</v>
          </cell>
          <cell r="E138">
            <v>69750</v>
          </cell>
          <cell r="F138">
            <v>6.6</v>
          </cell>
          <cell r="G138">
            <v>70140</v>
          </cell>
          <cell r="H138">
            <v>65280</v>
          </cell>
          <cell r="I138">
            <v>4860</v>
          </cell>
          <cell r="J138">
            <v>6.924033235815755</v>
          </cell>
        </row>
        <row r="139">
          <cell r="B139" t="str">
            <v>PA5302006</v>
          </cell>
          <cell r="C139">
            <v>65120</v>
          </cell>
          <cell r="D139">
            <v>5240</v>
          </cell>
          <cell r="E139">
            <v>70360</v>
          </cell>
          <cell r="F139">
            <v>7.4</v>
          </cell>
          <cell r="G139">
            <v>70180</v>
          </cell>
          <cell r="H139">
            <v>65260</v>
          </cell>
          <cell r="I139">
            <v>4920</v>
          </cell>
          <cell r="J139">
            <v>7.0116607689932806</v>
          </cell>
        </row>
        <row r="140">
          <cell r="B140" t="str">
            <v>PA5302007</v>
          </cell>
          <cell r="C140">
            <v>65070</v>
          </cell>
          <cell r="D140">
            <v>5120</v>
          </cell>
          <cell r="E140">
            <v>70190</v>
          </cell>
          <cell r="F140">
            <v>7.3</v>
          </cell>
          <cell r="G140">
            <v>70180</v>
          </cell>
          <cell r="H140">
            <v>65230</v>
          </cell>
          <cell r="I140">
            <v>4950</v>
          </cell>
          <cell r="J140">
            <v>7.051473866127643</v>
          </cell>
        </row>
        <row r="141">
          <cell r="B141" t="str">
            <v>PA5302008</v>
          </cell>
          <cell r="C141" t="str">
            <v/>
          </cell>
          <cell r="D141" t="str">
            <v/>
          </cell>
          <cell r="E141" t="e">
            <v>#VALUE!</v>
          </cell>
          <cell r="F141" t="str">
            <v/>
          </cell>
          <cell r="G141" t="str">
            <v/>
          </cell>
          <cell r="H141" t="str">
            <v/>
          </cell>
          <cell r="I141" t="str">
            <v/>
          </cell>
          <cell r="J141" t="str">
            <v/>
          </cell>
        </row>
        <row r="142">
          <cell r="B142" t="str">
            <v>PA5302009</v>
          </cell>
          <cell r="C142" t="str">
            <v/>
          </cell>
          <cell r="D142" t="str">
            <v/>
          </cell>
          <cell r="E142" t="e">
            <v>#VALUE!</v>
          </cell>
          <cell r="F142" t="str">
            <v/>
          </cell>
          <cell r="G142" t="str">
            <v/>
          </cell>
          <cell r="H142" t="str">
            <v/>
          </cell>
          <cell r="I142" t="str">
            <v/>
          </cell>
          <cell r="J142" t="str">
            <v/>
          </cell>
        </row>
        <row r="143">
          <cell r="B143" t="str">
            <v>PA53020010</v>
          </cell>
          <cell r="C143" t="str">
            <v/>
          </cell>
          <cell r="D143" t="str">
            <v/>
          </cell>
          <cell r="E143" t="e">
            <v>#VALUE!</v>
          </cell>
          <cell r="F143" t="str">
            <v/>
          </cell>
          <cell r="G143" t="str">
            <v/>
          </cell>
          <cell r="H143" t="str">
            <v/>
          </cell>
          <cell r="I143" t="str">
            <v/>
          </cell>
          <cell r="J143" t="str">
            <v/>
          </cell>
        </row>
        <row r="144">
          <cell r="B144" t="str">
            <v>PA53020011</v>
          </cell>
          <cell r="C144" t="str">
            <v/>
          </cell>
          <cell r="D144" t="str">
            <v/>
          </cell>
          <cell r="E144" t="e">
            <v>#VALUE!</v>
          </cell>
          <cell r="F144" t="str">
            <v/>
          </cell>
          <cell r="G144" t="str">
            <v/>
          </cell>
          <cell r="H144" t="str">
            <v/>
          </cell>
          <cell r="I144" t="str">
            <v/>
          </cell>
          <cell r="J144" t="str">
            <v/>
          </cell>
        </row>
        <row r="145">
          <cell r="B145" t="str">
            <v>PA53020012</v>
          </cell>
          <cell r="C145" t="str">
            <v/>
          </cell>
          <cell r="D145" t="str">
            <v/>
          </cell>
          <cell r="E145" t="e">
            <v>#VALUE!</v>
          </cell>
          <cell r="F145" t="str">
            <v/>
          </cell>
          <cell r="G145" t="str">
            <v/>
          </cell>
          <cell r="H145" t="str">
            <v/>
          </cell>
          <cell r="I145" t="str">
            <v/>
          </cell>
          <cell r="J145" t="str">
            <v/>
          </cell>
        </row>
        <row r="146">
          <cell r="B146" t="str">
            <v>PA5300501</v>
          </cell>
          <cell r="C146">
            <v>346450</v>
          </cell>
          <cell r="D146">
            <v>29540</v>
          </cell>
          <cell r="E146">
            <v>375990</v>
          </cell>
          <cell r="F146">
            <v>7.9</v>
          </cell>
          <cell r="G146">
            <v>375990</v>
          </cell>
          <cell r="H146">
            <v>346450</v>
          </cell>
          <cell r="I146">
            <v>29540</v>
          </cell>
          <cell r="J146">
            <v>7.9</v>
          </cell>
        </row>
        <row r="147">
          <cell r="B147" t="str">
            <v>PA5300502</v>
          </cell>
          <cell r="C147">
            <v>348390</v>
          </cell>
          <cell r="D147">
            <v>30280</v>
          </cell>
          <cell r="E147">
            <v>378670</v>
          </cell>
          <cell r="F147">
            <v>8</v>
          </cell>
          <cell r="G147">
            <v>377330</v>
          </cell>
          <cell r="H147">
            <v>347420</v>
          </cell>
          <cell r="I147">
            <v>29910</v>
          </cell>
          <cell r="J147">
            <v>7.9270344977459999</v>
          </cell>
        </row>
        <row r="148">
          <cell r="B148" t="str">
            <v>PA5300503</v>
          </cell>
          <cell r="C148">
            <v>347110</v>
          </cell>
          <cell r="D148">
            <v>29280</v>
          </cell>
          <cell r="E148">
            <v>376390</v>
          </cell>
          <cell r="F148">
            <v>7.8</v>
          </cell>
          <cell r="G148">
            <v>377020</v>
          </cell>
          <cell r="H148">
            <v>347320</v>
          </cell>
          <cell r="I148">
            <v>29700</v>
          </cell>
          <cell r="J148">
            <v>7.8780709269520122</v>
          </cell>
        </row>
        <row r="149">
          <cell r="B149" t="str">
            <v>PA5300504</v>
          </cell>
          <cell r="C149">
            <v>343650</v>
          </cell>
          <cell r="D149">
            <v>27300</v>
          </cell>
          <cell r="E149">
            <v>370950</v>
          </cell>
          <cell r="F149">
            <v>7.4</v>
          </cell>
          <cell r="G149">
            <v>375500</v>
          </cell>
          <cell r="H149">
            <v>346400</v>
          </cell>
          <cell r="I149">
            <v>29100</v>
          </cell>
          <cell r="J149">
            <v>7.7501997336884152</v>
          </cell>
        </row>
        <row r="150">
          <cell r="B150" t="str">
            <v>PA5300505</v>
          </cell>
          <cell r="C150">
            <v>345650</v>
          </cell>
          <cell r="D150">
            <v>27330</v>
          </cell>
          <cell r="E150">
            <v>372980</v>
          </cell>
          <cell r="F150">
            <v>7.3</v>
          </cell>
          <cell r="G150">
            <v>375000</v>
          </cell>
          <cell r="H150">
            <v>346250</v>
          </cell>
          <cell r="I150">
            <v>28750</v>
          </cell>
          <cell r="J150">
            <v>7.6660469273838361</v>
          </cell>
        </row>
        <row r="151">
          <cell r="B151" t="str">
            <v>PA5300506</v>
          </cell>
          <cell r="C151">
            <v>345390</v>
          </cell>
          <cell r="D151">
            <v>30830</v>
          </cell>
          <cell r="E151">
            <v>376220</v>
          </cell>
          <cell r="F151">
            <v>8.1999999999999993</v>
          </cell>
          <cell r="G151">
            <v>375200</v>
          </cell>
          <cell r="H151">
            <v>346110</v>
          </cell>
          <cell r="I151">
            <v>29090</v>
          </cell>
          <cell r="J151">
            <v>7.7541824397498571</v>
          </cell>
        </row>
        <row r="152">
          <cell r="B152" t="str">
            <v>PA5300507</v>
          </cell>
          <cell r="C152">
            <v>345120</v>
          </cell>
          <cell r="D152">
            <v>30010</v>
          </cell>
          <cell r="E152">
            <v>375130</v>
          </cell>
          <cell r="F152">
            <v>8</v>
          </cell>
          <cell r="G152">
            <v>375190</v>
          </cell>
          <cell r="H152">
            <v>345970</v>
          </cell>
          <cell r="I152">
            <v>29220</v>
          </cell>
          <cell r="J152">
            <v>7.7891350080435586</v>
          </cell>
        </row>
        <row r="153">
          <cell r="B153" t="str">
            <v>PA5300508</v>
          </cell>
          <cell r="C153" t="str">
            <v/>
          </cell>
          <cell r="D153" t="str">
            <v/>
          </cell>
          <cell r="E153" t="e">
            <v>#VALUE!</v>
          </cell>
          <cell r="F153" t="str">
            <v/>
          </cell>
          <cell r="G153" t="str">
            <v/>
          </cell>
          <cell r="H153" t="str">
            <v/>
          </cell>
          <cell r="I153" t="str">
            <v/>
          </cell>
          <cell r="J153" t="str">
            <v/>
          </cell>
        </row>
        <row r="154">
          <cell r="B154" t="str">
            <v>PA5300509</v>
          </cell>
          <cell r="C154" t="str">
            <v/>
          </cell>
          <cell r="D154" t="str">
            <v/>
          </cell>
          <cell r="E154" t="e">
            <v>#VALUE!</v>
          </cell>
          <cell r="F154" t="str">
            <v/>
          </cell>
          <cell r="G154" t="str">
            <v/>
          </cell>
          <cell r="H154" t="str">
            <v/>
          </cell>
          <cell r="I154" t="str">
            <v/>
          </cell>
          <cell r="J154" t="str">
            <v/>
          </cell>
        </row>
        <row r="155">
          <cell r="B155" t="str">
            <v>PA53005010</v>
          </cell>
          <cell r="C155" t="str">
            <v/>
          </cell>
          <cell r="D155" t="str">
            <v/>
          </cell>
          <cell r="E155" t="e">
            <v>#VALUE!</v>
          </cell>
          <cell r="F155" t="str">
            <v/>
          </cell>
          <cell r="G155" t="str">
            <v/>
          </cell>
          <cell r="H155" t="str">
            <v/>
          </cell>
          <cell r="I155" t="str">
            <v/>
          </cell>
          <cell r="J155" t="str">
            <v/>
          </cell>
        </row>
        <row r="156">
          <cell r="B156" t="str">
            <v>PA53005011</v>
          </cell>
          <cell r="C156" t="str">
            <v/>
          </cell>
          <cell r="D156" t="str">
            <v/>
          </cell>
          <cell r="E156" t="e">
            <v>#VALUE!</v>
          </cell>
          <cell r="F156" t="str">
            <v/>
          </cell>
          <cell r="G156" t="str">
            <v/>
          </cell>
          <cell r="H156" t="str">
            <v/>
          </cell>
          <cell r="I156" t="str">
            <v/>
          </cell>
          <cell r="J156" t="str">
            <v/>
          </cell>
        </row>
        <row r="157">
          <cell r="B157" t="str">
            <v>PA53005012</v>
          </cell>
          <cell r="C157" t="str">
            <v/>
          </cell>
          <cell r="D157" t="str">
            <v/>
          </cell>
          <cell r="E157" t="e">
            <v>#VALUE!</v>
          </cell>
          <cell r="F157" t="str">
            <v/>
          </cell>
          <cell r="G157" t="str">
            <v/>
          </cell>
          <cell r="H157" t="str">
            <v/>
          </cell>
          <cell r="I157" t="str">
            <v/>
          </cell>
          <cell r="J157" t="str">
            <v/>
          </cell>
        </row>
        <row r="158">
          <cell r="B158" t="str">
            <v>MT5349421</v>
          </cell>
          <cell r="C158">
            <v>106630</v>
          </cell>
          <cell r="D158">
            <v>13940</v>
          </cell>
          <cell r="E158">
            <v>120570</v>
          </cell>
          <cell r="F158">
            <v>11.6</v>
          </cell>
          <cell r="G158">
            <v>120580</v>
          </cell>
          <cell r="H158">
            <v>106630</v>
          </cell>
          <cell r="I158">
            <v>13940</v>
          </cell>
          <cell r="J158">
            <v>11.6</v>
          </cell>
        </row>
        <row r="159">
          <cell r="B159" t="str">
            <v>MT5349422</v>
          </cell>
          <cell r="C159">
            <v>107820</v>
          </cell>
          <cell r="D159">
            <v>13490</v>
          </cell>
          <cell r="E159">
            <v>121310</v>
          </cell>
          <cell r="F159">
            <v>11.1</v>
          </cell>
          <cell r="G159">
            <v>120940</v>
          </cell>
          <cell r="H159">
            <v>107220</v>
          </cell>
          <cell r="I159">
            <v>13720</v>
          </cell>
          <cell r="J159">
            <v>11.34111401887705</v>
          </cell>
        </row>
        <row r="160">
          <cell r="B160" t="str">
            <v>MT5349423</v>
          </cell>
          <cell r="C160">
            <v>107810</v>
          </cell>
          <cell r="D160">
            <v>12980</v>
          </cell>
          <cell r="E160">
            <v>120790</v>
          </cell>
          <cell r="F160">
            <v>10.7</v>
          </cell>
          <cell r="G160">
            <v>120890</v>
          </cell>
          <cell r="H160">
            <v>107420</v>
          </cell>
          <cell r="I160">
            <v>13470</v>
          </cell>
          <cell r="J160">
            <v>11.141840080073015</v>
          </cell>
        </row>
        <row r="161">
          <cell r="B161" t="str">
            <v>MT5349424</v>
          </cell>
          <cell r="C161">
            <v>107510</v>
          </cell>
          <cell r="D161">
            <v>12010</v>
          </cell>
          <cell r="E161">
            <v>119520</v>
          </cell>
          <cell r="F161">
            <v>10.1</v>
          </cell>
          <cell r="G161">
            <v>120550</v>
          </cell>
          <cell r="H161">
            <v>107440</v>
          </cell>
          <cell r="I161">
            <v>13110</v>
          </cell>
          <cell r="J161">
            <v>10.871278422523995</v>
          </cell>
        </row>
        <row r="162">
          <cell r="B162" t="str">
            <v>MT5349425</v>
          </cell>
          <cell r="C162">
            <v>108950</v>
          </cell>
          <cell r="D162">
            <v>11990</v>
          </cell>
          <cell r="E162">
            <v>120940</v>
          </cell>
          <cell r="F162">
            <v>9.9</v>
          </cell>
          <cell r="G162">
            <v>120630</v>
          </cell>
          <cell r="H162">
            <v>107740</v>
          </cell>
          <cell r="I162">
            <v>12880</v>
          </cell>
          <cell r="J162">
            <v>10.679378238341968</v>
          </cell>
        </row>
        <row r="163">
          <cell r="B163" t="str">
            <v>MT5349426</v>
          </cell>
          <cell r="C163">
            <v>115610</v>
          </cell>
          <cell r="D163">
            <v>12420</v>
          </cell>
          <cell r="E163">
            <v>128030</v>
          </cell>
          <cell r="F163">
            <v>9.6999999999999993</v>
          </cell>
          <cell r="G163">
            <v>121860</v>
          </cell>
          <cell r="H163">
            <v>109050</v>
          </cell>
          <cell r="I163">
            <v>12800</v>
          </cell>
          <cell r="J163">
            <v>10.507376705012494</v>
          </cell>
        </row>
        <row r="164">
          <cell r="B164" t="str">
            <v>MT5349427</v>
          </cell>
          <cell r="C164">
            <v>120460</v>
          </cell>
          <cell r="D164">
            <v>11540</v>
          </cell>
          <cell r="E164">
            <v>132000</v>
          </cell>
          <cell r="F164">
            <v>8.6999999999999993</v>
          </cell>
          <cell r="G164">
            <v>123310</v>
          </cell>
          <cell r="H164">
            <v>110680</v>
          </cell>
          <cell r="I164">
            <v>12620</v>
          </cell>
          <cell r="J164">
            <v>10.237062473642991</v>
          </cell>
        </row>
        <row r="165">
          <cell r="B165" t="str">
            <v>MT5349428</v>
          </cell>
          <cell r="C165" t="str">
            <v/>
          </cell>
          <cell r="D165" t="str">
            <v/>
          </cell>
          <cell r="E165" t="e">
            <v>#VALUE!</v>
          </cell>
          <cell r="F165" t="str">
            <v/>
          </cell>
          <cell r="G165" t="str">
            <v/>
          </cell>
          <cell r="H165" t="str">
            <v/>
          </cell>
          <cell r="I165" t="str">
            <v/>
          </cell>
          <cell r="J165" t="str">
            <v/>
          </cell>
        </row>
        <row r="166">
          <cell r="B166" t="str">
            <v>MT5349429</v>
          </cell>
          <cell r="C166" t="str">
            <v/>
          </cell>
          <cell r="D166" t="str">
            <v/>
          </cell>
          <cell r="E166" t="e">
            <v>#VALUE!</v>
          </cell>
          <cell r="F166" t="str">
            <v/>
          </cell>
          <cell r="G166" t="str">
            <v/>
          </cell>
          <cell r="H166" t="str">
            <v/>
          </cell>
          <cell r="I166" t="str">
            <v/>
          </cell>
          <cell r="J166" t="str">
            <v/>
          </cell>
        </row>
        <row r="167">
          <cell r="B167" t="str">
            <v>MT53494210</v>
          </cell>
          <cell r="C167" t="str">
            <v/>
          </cell>
          <cell r="D167" t="str">
            <v/>
          </cell>
          <cell r="E167" t="e">
            <v>#VALUE!</v>
          </cell>
          <cell r="F167" t="str">
            <v/>
          </cell>
          <cell r="G167" t="str">
            <v/>
          </cell>
          <cell r="H167" t="str">
            <v/>
          </cell>
          <cell r="I167" t="str">
            <v/>
          </cell>
          <cell r="J167" t="str">
            <v/>
          </cell>
        </row>
        <row r="168">
          <cell r="B168" t="str">
            <v>MT53494211</v>
          </cell>
          <cell r="C168" t="str">
            <v/>
          </cell>
          <cell r="D168" t="str">
            <v/>
          </cell>
          <cell r="E168" t="e">
            <v>#VALUE!</v>
          </cell>
          <cell r="F168" t="str">
            <v/>
          </cell>
          <cell r="G168" t="str">
            <v/>
          </cell>
          <cell r="H168" t="str">
            <v/>
          </cell>
          <cell r="I168" t="str">
            <v/>
          </cell>
          <cell r="J168" t="str">
            <v/>
          </cell>
        </row>
        <row r="169">
          <cell r="B169" t="str">
            <v>MT53494212</v>
          </cell>
          <cell r="C169" t="str">
            <v/>
          </cell>
          <cell r="D169" t="str">
            <v/>
          </cell>
          <cell r="E169" t="e">
            <v>#VALUE!</v>
          </cell>
          <cell r="F169" t="str">
            <v/>
          </cell>
          <cell r="G169" t="str">
            <v/>
          </cell>
          <cell r="H169" t="str">
            <v/>
          </cell>
          <cell r="I169" t="str">
            <v/>
          </cell>
          <cell r="J169" t="str">
            <v/>
          </cell>
        </row>
        <row r="170">
          <cell r="B170" t="str">
            <v>MT5348301</v>
          </cell>
          <cell r="C170">
            <v>54070</v>
          </cell>
          <cell r="D170">
            <v>5930</v>
          </cell>
          <cell r="E170">
            <v>60000</v>
          </cell>
          <cell r="F170">
            <v>9.9</v>
          </cell>
          <cell r="G170">
            <v>59990</v>
          </cell>
          <cell r="H170">
            <v>54070</v>
          </cell>
          <cell r="I170">
            <v>5930</v>
          </cell>
          <cell r="J170">
            <v>9.9</v>
          </cell>
        </row>
        <row r="171">
          <cell r="B171" t="str">
            <v>MT5348302</v>
          </cell>
          <cell r="C171">
            <v>54620</v>
          </cell>
          <cell r="D171">
            <v>5870</v>
          </cell>
          <cell r="E171">
            <v>60490</v>
          </cell>
          <cell r="F171">
            <v>9.6999999999999993</v>
          </cell>
          <cell r="G171">
            <v>60240</v>
          </cell>
          <cell r="H171">
            <v>54350</v>
          </cell>
          <cell r="I171">
            <v>5900</v>
          </cell>
          <cell r="J171">
            <v>9.7896003651906867</v>
          </cell>
        </row>
        <row r="172">
          <cell r="B172" t="str">
            <v>MT5348303</v>
          </cell>
          <cell r="C172">
            <v>55340</v>
          </cell>
          <cell r="D172">
            <v>5740</v>
          </cell>
          <cell r="E172">
            <v>61080</v>
          </cell>
          <cell r="F172">
            <v>9.4</v>
          </cell>
          <cell r="G172">
            <v>60520</v>
          </cell>
          <cell r="H172">
            <v>54680</v>
          </cell>
          <cell r="I172">
            <v>5850</v>
          </cell>
          <cell r="J172">
            <v>9.6597418047232981</v>
          </cell>
        </row>
        <row r="173">
          <cell r="B173" t="str">
            <v>MT5348304</v>
          </cell>
          <cell r="C173">
            <v>54260</v>
          </cell>
          <cell r="D173">
            <v>5110</v>
          </cell>
          <cell r="E173">
            <v>59370</v>
          </cell>
          <cell r="F173">
            <v>8.6</v>
          </cell>
          <cell r="G173">
            <v>60230</v>
          </cell>
          <cell r="H173">
            <v>54570</v>
          </cell>
          <cell r="I173">
            <v>5660</v>
          </cell>
          <cell r="J173">
            <v>9.4008757548716453</v>
          </cell>
        </row>
        <row r="174">
          <cell r="B174" t="str">
            <v>MT5348305</v>
          </cell>
          <cell r="C174">
            <v>55030</v>
          </cell>
          <cell r="D174">
            <v>5150</v>
          </cell>
          <cell r="E174">
            <v>60180</v>
          </cell>
          <cell r="F174">
            <v>8.6</v>
          </cell>
          <cell r="G174">
            <v>60220</v>
          </cell>
          <cell r="H174">
            <v>54660</v>
          </cell>
          <cell r="I174">
            <v>5560</v>
          </cell>
          <cell r="J174">
            <v>9.2325625417193855</v>
          </cell>
        </row>
        <row r="175">
          <cell r="B175" t="str">
            <v>MT5348306</v>
          </cell>
          <cell r="C175">
            <v>62910</v>
          </cell>
          <cell r="D175">
            <v>5040</v>
          </cell>
          <cell r="E175">
            <v>67950</v>
          </cell>
          <cell r="F175">
            <v>7.4</v>
          </cell>
          <cell r="G175">
            <v>61510</v>
          </cell>
          <cell r="H175">
            <v>56040</v>
          </cell>
          <cell r="I175">
            <v>5470</v>
          </cell>
          <cell r="J175">
            <v>8.8991007150385695</v>
          </cell>
        </row>
        <row r="176">
          <cell r="B176" t="str">
            <v>MT5348307</v>
          </cell>
          <cell r="C176">
            <v>69900</v>
          </cell>
          <cell r="D176">
            <v>4620</v>
          </cell>
          <cell r="E176">
            <v>74520</v>
          </cell>
          <cell r="F176">
            <v>6.2</v>
          </cell>
          <cell r="G176">
            <v>63370</v>
          </cell>
          <cell r="H176">
            <v>58020</v>
          </cell>
          <cell r="I176">
            <v>5350</v>
          </cell>
          <cell r="J176">
            <v>8.4446428289632394</v>
          </cell>
        </row>
        <row r="177">
          <cell r="B177" t="str">
            <v>MT5348308</v>
          </cell>
          <cell r="C177" t="str">
            <v/>
          </cell>
          <cell r="D177" t="str">
            <v/>
          </cell>
          <cell r="E177" t="e">
            <v>#VALUE!</v>
          </cell>
          <cell r="F177" t="str">
            <v/>
          </cell>
          <cell r="G177" t="str">
            <v/>
          </cell>
          <cell r="H177" t="str">
            <v/>
          </cell>
          <cell r="I177" t="str">
            <v/>
          </cell>
          <cell r="J177" t="str">
            <v/>
          </cell>
        </row>
        <row r="178">
          <cell r="B178" t="str">
            <v>MT5348309</v>
          </cell>
          <cell r="C178" t="str">
            <v/>
          </cell>
          <cell r="D178" t="str">
            <v/>
          </cell>
          <cell r="E178" t="e">
            <v>#VALUE!</v>
          </cell>
          <cell r="F178" t="str">
            <v/>
          </cell>
          <cell r="G178" t="str">
            <v/>
          </cell>
          <cell r="H178" t="str">
            <v/>
          </cell>
          <cell r="I178" t="str">
            <v/>
          </cell>
          <cell r="J178" t="str">
            <v/>
          </cell>
        </row>
        <row r="179">
          <cell r="B179" t="str">
            <v>MT53483010</v>
          </cell>
          <cell r="C179" t="str">
            <v/>
          </cell>
          <cell r="D179" t="str">
            <v/>
          </cell>
          <cell r="E179" t="e">
            <v>#VALUE!</v>
          </cell>
          <cell r="F179" t="str">
            <v/>
          </cell>
          <cell r="G179" t="str">
            <v/>
          </cell>
          <cell r="H179" t="str">
            <v/>
          </cell>
          <cell r="I179" t="str">
            <v/>
          </cell>
          <cell r="J179" t="str">
            <v/>
          </cell>
        </row>
        <row r="180">
          <cell r="B180" t="str">
            <v>MT53483011</v>
          </cell>
          <cell r="C180" t="str">
            <v/>
          </cell>
          <cell r="D180" t="str">
            <v/>
          </cell>
          <cell r="E180" t="e">
            <v>#VALUE!</v>
          </cell>
          <cell r="F180" t="str">
            <v/>
          </cell>
          <cell r="G180" t="str">
            <v/>
          </cell>
          <cell r="H180" t="str">
            <v/>
          </cell>
          <cell r="I180" t="str">
            <v/>
          </cell>
          <cell r="J180" t="str">
            <v/>
          </cell>
        </row>
        <row r="181">
          <cell r="B181" t="str">
            <v>MT53483012</v>
          </cell>
          <cell r="C181" t="str">
            <v/>
          </cell>
          <cell r="D181" t="str">
            <v/>
          </cell>
          <cell r="E181" t="e">
            <v>#VALUE!</v>
          </cell>
          <cell r="F181" t="str">
            <v/>
          </cell>
          <cell r="G181" t="str">
            <v/>
          </cell>
          <cell r="H181" t="str">
            <v/>
          </cell>
          <cell r="I181" t="str">
            <v/>
          </cell>
          <cell r="J181" t="str">
            <v/>
          </cell>
        </row>
        <row r="182">
          <cell r="B182" t="str">
            <v>MT5344061</v>
          </cell>
          <cell r="C182">
            <v>212870</v>
          </cell>
          <cell r="D182">
            <v>24450</v>
          </cell>
          <cell r="E182">
            <v>237320</v>
          </cell>
          <cell r="F182">
            <v>10.3</v>
          </cell>
          <cell r="G182">
            <v>237320</v>
          </cell>
          <cell r="H182">
            <v>212870</v>
          </cell>
          <cell r="I182">
            <v>24450</v>
          </cell>
          <cell r="J182">
            <v>10.3</v>
          </cell>
        </row>
        <row r="183">
          <cell r="B183" t="str">
            <v>MT5344062</v>
          </cell>
          <cell r="C183">
            <v>212890</v>
          </cell>
          <cell r="D183">
            <v>24700</v>
          </cell>
          <cell r="E183">
            <v>237590</v>
          </cell>
          <cell r="F183">
            <v>10.4</v>
          </cell>
          <cell r="G183">
            <v>237450</v>
          </cell>
          <cell r="H183">
            <v>212880</v>
          </cell>
          <cell r="I183">
            <v>24570</v>
          </cell>
          <cell r="J183">
            <v>10.348341885885027</v>
          </cell>
        </row>
        <row r="184">
          <cell r="B184" t="str">
            <v>MT5344063</v>
          </cell>
          <cell r="C184">
            <v>213170</v>
          </cell>
          <cell r="D184">
            <v>24520</v>
          </cell>
          <cell r="E184">
            <v>237690</v>
          </cell>
          <cell r="F184">
            <v>10.3</v>
          </cell>
          <cell r="G184">
            <v>237530</v>
          </cell>
          <cell r="H184">
            <v>212980</v>
          </cell>
          <cell r="I184">
            <v>24560</v>
          </cell>
          <cell r="J184">
            <v>10.337694850939382</v>
          </cell>
        </row>
        <row r="185">
          <cell r="B185" t="str">
            <v>MT5344064</v>
          </cell>
          <cell r="C185">
            <v>215640</v>
          </cell>
          <cell r="D185">
            <v>21060</v>
          </cell>
          <cell r="E185">
            <v>236700</v>
          </cell>
          <cell r="F185">
            <v>8.9</v>
          </cell>
          <cell r="G185">
            <v>237320</v>
          </cell>
          <cell r="H185">
            <v>213640</v>
          </cell>
          <cell r="I185">
            <v>23680</v>
          </cell>
          <cell r="J185">
            <v>9.9781416735577455</v>
          </cell>
        </row>
        <row r="186">
          <cell r="B186" t="str">
            <v>MT5344065</v>
          </cell>
          <cell r="C186">
            <v>215240</v>
          </cell>
          <cell r="D186">
            <v>20740</v>
          </cell>
          <cell r="E186">
            <v>235980</v>
          </cell>
          <cell r="F186">
            <v>8.8000000000000007</v>
          </cell>
          <cell r="G186">
            <v>237060</v>
          </cell>
          <cell r="H186">
            <v>213960</v>
          </cell>
          <cell r="I186">
            <v>23090</v>
          </cell>
          <cell r="J186">
            <v>9.7415718298023837</v>
          </cell>
        </row>
        <row r="187">
          <cell r="B187" t="str">
            <v>MT5344066</v>
          </cell>
          <cell r="C187">
            <v>212130</v>
          </cell>
          <cell r="D187">
            <v>20840</v>
          </cell>
          <cell r="E187">
            <v>232970</v>
          </cell>
          <cell r="F187">
            <v>8.9</v>
          </cell>
          <cell r="G187">
            <v>236370</v>
          </cell>
          <cell r="H187">
            <v>213660</v>
          </cell>
          <cell r="I187">
            <v>22720</v>
          </cell>
          <cell r="J187">
            <v>9.6107309864001227</v>
          </cell>
        </row>
        <row r="188">
          <cell r="B188" t="str">
            <v>MT5344067</v>
          </cell>
          <cell r="C188">
            <v>214070</v>
          </cell>
          <cell r="D188">
            <v>20250</v>
          </cell>
          <cell r="E188">
            <v>234320</v>
          </cell>
          <cell r="F188">
            <v>8.6</v>
          </cell>
          <cell r="G188">
            <v>236080</v>
          </cell>
          <cell r="H188">
            <v>213720</v>
          </cell>
          <cell r="I188">
            <v>22360</v>
          </cell>
          <cell r="J188">
            <v>9.4733453429612062</v>
          </cell>
        </row>
        <row r="189">
          <cell r="B189" t="str">
            <v>MT5344068</v>
          </cell>
          <cell r="C189" t="str">
            <v/>
          </cell>
          <cell r="D189" t="str">
            <v/>
          </cell>
          <cell r="E189" t="e">
            <v>#VALUE!</v>
          </cell>
          <cell r="F189" t="str">
            <v/>
          </cell>
          <cell r="G189" t="str">
            <v/>
          </cell>
          <cell r="H189" t="str">
            <v/>
          </cell>
          <cell r="I189" t="str">
            <v/>
          </cell>
          <cell r="J189" t="str">
            <v/>
          </cell>
        </row>
        <row r="190">
          <cell r="B190" t="str">
            <v>MT5344069</v>
          </cell>
          <cell r="C190" t="str">
            <v/>
          </cell>
          <cell r="D190" t="str">
            <v/>
          </cell>
          <cell r="E190" t="e">
            <v>#VALUE!</v>
          </cell>
          <cell r="F190" t="str">
            <v/>
          </cell>
          <cell r="G190" t="str">
            <v/>
          </cell>
          <cell r="H190" t="str">
            <v/>
          </cell>
          <cell r="I190" t="str">
            <v/>
          </cell>
          <cell r="J190" t="str">
            <v/>
          </cell>
        </row>
        <row r="191">
          <cell r="B191" t="str">
            <v>MT53440610</v>
          </cell>
          <cell r="C191" t="str">
            <v/>
          </cell>
          <cell r="D191" t="str">
            <v/>
          </cell>
          <cell r="E191" t="e">
            <v>#VALUE!</v>
          </cell>
          <cell r="F191" t="str">
            <v/>
          </cell>
          <cell r="G191" t="str">
            <v/>
          </cell>
          <cell r="H191" t="str">
            <v/>
          </cell>
          <cell r="I191" t="str">
            <v/>
          </cell>
          <cell r="J191" t="str">
            <v/>
          </cell>
        </row>
        <row r="192">
          <cell r="B192" t="str">
            <v>MT53440611</v>
          </cell>
          <cell r="C192" t="str">
            <v/>
          </cell>
          <cell r="D192" t="str">
            <v/>
          </cell>
          <cell r="E192" t="e">
            <v>#VALUE!</v>
          </cell>
          <cell r="F192" t="str">
            <v/>
          </cell>
          <cell r="G192" t="str">
            <v/>
          </cell>
          <cell r="H192" t="str">
            <v/>
          </cell>
          <cell r="I192" t="str">
            <v/>
          </cell>
          <cell r="J192" t="str">
            <v/>
          </cell>
        </row>
        <row r="193">
          <cell r="B193" t="str">
            <v>MT53440612</v>
          </cell>
          <cell r="C193" t="str">
            <v/>
          </cell>
          <cell r="D193" t="str">
            <v/>
          </cell>
          <cell r="E193" t="e">
            <v>#VALUE!</v>
          </cell>
          <cell r="F193" t="str">
            <v/>
          </cell>
          <cell r="G193" t="str">
            <v/>
          </cell>
          <cell r="H193" t="str">
            <v/>
          </cell>
          <cell r="I193" t="str">
            <v/>
          </cell>
          <cell r="J193" t="str">
            <v/>
          </cell>
        </row>
        <row r="194">
          <cell r="B194" t="str">
            <v>MT5342661</v>
          </cell>
          <cell r="C194">
            <v>1705450</v>
          </cell>
          <cell r="D194">
            <v>172560</v>
          </cell>
          <cell r="E194">
            <v>1878010</v>
          </cell>
          <cell r="F194">
            <v>9.1999999999999993</v>
          </cell>
          <cell r="G194">
            <v>1878010</v>
          </cell>
          <cell r="H194">
            <v>1705450</v>
          </cell>
          <cell r="I194">
            <v>172560</v>
          </cell>
          <cell r="J194">
            <v>9.1999999999999993</v>
          </cell>
        </row>
        <row r="195">
          <cell r="B195" t="str">
            <v>MT5342662</v>
          </cell>
          <cell r="C195">
            <v>1710540</v>
          </cell>
          <cell r="D195">
            <v>176660</v>
          </cell>
          <cell r="E195">
            <v>1887200</v>
          </cell>
          <cell r="F195">
            <v>9.4</v>
          </cell>
          <cell r="G195">
            <v>1882610</v>
          </cell>
          <cell r="H195">
            <v>1707990</v>
          </cell>
          <cell r="I195">
            <v>174610</v>
          </cell>
          <cell r="J195">
            <v>9.2749673988967416</v>
          </cell>
        </row>
        <row r="196">
          <cell r="B196" t="str">
            <v>MT5342663</v>
          </cell>
          <cell r="C196">
            <v>1706090</v>
          </cell>
          <cell r="D196">
            <v>173800</v>
          </cell>
          <cell r="E196">
            <v>1879890</v>
          </cell>
          <cell r="F196">
            <v>9.1999999999999993</v>
          </cell>
          <cell r="G196">
            <v>1881700</v>
          </cell>
          <cell r="H196">
            <v>1707360</v>
          </cell>
          <cell r="I196">
            <v>174340</v>
          </cell>
          <cell r="J196">
            <v>9.2649813687812159</v>
          </cell>
        </row>
        <row r="197">
          <cell r="B197" t="str">
            <v>MT5342664</v>
          </cell>
          <cell r="C197">
            <v>1691960</v>
          </cell>
          <cell r="D197">
            <v>159850</v>
          </cell>
          <cell r="E197">
            <v>1851810</v>
          </cell>
          <cell r="F197">
            <v>8.6</v>
          </cell>
          <cell r="G197">
            <v>1874230</v>
          </cell>
          <cell r="H197">
            <v>1703510</v>
          </cell>
          <cell r="I197">
            <v>170720</v>
          </cell>
          <cell r="J197">
            <v>9.1086776331462609</v>
          </cell>
        </row>
        <row r="198">
          <cell r="B198" t="str">
            <v>MT5342665</v>
          </cell>
          <cell r="C198">
            <v>1703430</v>
          </cell>
          <cell r="D198">
            <v>159540</v>
          </cell>
          <cell r="E198">
            <v>1862970</v>
          </cell>
          <cell r="F198">
            <v>8.6</v>
          </cell>
          <cell r="G198">
            <v>1871980</v>
          </cell>
          <cell r="H198">
            <v>1703490</v>
          </cell>
          <cell r="I198">
            <v>168480</v>
          </cell>
          <cell r="J198">
            <v>9.0002241482207346</v>
          </cell>
        </row>
        <row r="199">
          <cell r="B199" t="str">
            <v>MT5342666</v>
          </cell>
          <cell r="C199">
            <v>1695350</v>
          </cell>
          <cell r="D199">
            <v>173560</v>
          </cell>
          <cell r="E199">
            <v>1868910</v>
          </cell>
          <cell r="F199">
            <v>9.3000000000000007</v>
          </cell>
          <cell r="G199">
            <v>1871460</v>
          </cell>
          <cell r="H199">
            <v>1702140</v>
          </cell>
          <cell r="I199">
            <v>169330</v>
          </cell>
          <cell r="J199">
            <v>9.0478622575817411</v>
          </cell>
        </row>
        <row r="200">
          <cell r="B200" t="str">
            <v>MT5342667</v>
          </cell>
          <cell r="C200">
            <v>1688950</v>
          </cell>
          <cell r="D200">
            <v>169620</v>
          </cell>
          <cell r="E200">
            <v>1858570</v>
          </cell>
          <cell r="F200">
            <v>9.1</v>
          </cell>
          <cell r="G200">
            <v>1869620</v>
          </cell>
          <cell r="H200">
            <v>1700250</v>
          </cell>
          <cell r="I200">
            <v>169370</v>
          </cell>
          <cell r="J200">
            <v>9.0589816703972392</v>
          </cell>
        </row>
        <row r="201">
          <cell r="B201" t="str">
            <v>MT5342668</v>
          </cell>
          <cell r="C201" t="str">
            <v/>
          </cell>
          <cell r="D201" t="str">
            <v/>
          </cell>
          <cell r="E201" t="e">
            <v>#VALUE!</v>
          </cell>
          <cell r="F201" t="str">
            <v/>
          </cell>
          <cell r="G201" t="str">
            <v/>
          </cell>
          <cell r="H201" t="str">
            <v/>
          </cell>
          <cell r="I201" t="str">
            <v/>
          </cell>
          <cell r="J201" t="str">
            <v/>
          </cell>
        </row>
        <row r="202">
          <cell r="B202" t="str">
            <v>MT5342669</v>
          </cell>
          <cell r="C202" t="str">
            <v/>
          </cell>
          <cell r="D202" t="str">
            <v/>
          </cell>
          <cell r="E202" t="e">
            <v>#VALUE!</v>
          </cell>
          <cell r="F202" t="str">
            <v/>
          </cell>
          <cell r="G202" t="str">
            <v/>
          </cell>
          <cell r="H202" t="str">
            <v/>
          </cell>
          <cell r="I202" t="str">
            <v/>
          </cell>
          <cell r="J202" t="str">
            <v/>
          </cell>
        </row>
        <row r="203">
          <cell r="B203" t="str">
            <v>MT53426610</v>
          </cell>
          <cell r="C203" t="str">
            <v/>
          </cell>
          <cell r="D203" t="str">
            <v/>
          </cell>
          <cell r="E203" t="e">
            <v>#VALUE!</v>
          </cell>
          <cell r="F203" t="str">
            <v/>
          </cell>
          <cell r="G203" t="str">
            <v/>
          </cell>
          <cell r="H203" t="str">
            <v/>
          </cell>
          <cell r="I203" t="str">
            <v/>
          </cell>
          <cell r="J203" t="str">
            <v/>
          </cell>
        </row>
        <row r="204">
          <cell r="B204" t="str">
            <v>MT53426611</v>
          </cell>
          <cell r="C204" t="str">
            <v/>
          </cell>
          <cell r="D204" t="str">
            <v/>
          </cell>
          <cell r="E204" t="e">
            <v>#VALUE!</v>
          </cell>
          <cell r="F204" t="str">
            <v/>
          </cell>
          <cell r="G204" t="str">
            <v/>
          </cell>
          <cell r="H204" t="str">
            <v/>
          </cell>
          <cell r="I204" t="str">
            <v/>
          </cell>
          <cell r="J204" t="str">
            <v/>
          </cell>
        </row>
        <row r="205">
          <cell r="B205" t="str">
            <v>MT53426612</v>
          </cell>
          <cell r="C205" t="str">
            <v/>
          </cell>
          <cell r="D205" t="str">
            <v/>
          </cell>
          <cell r="E205" t="e">
            <v>#VALUE!</v>
          </cell>
          <cell r="F205" t="str">
            <v/>
          </cell>
          <cell r="G205" t="str">
            <v/>
          </cell>
          <cell r="H205" t="str">
            <v/>
          </cell>
          <cell r="I205" t="str">
            <v/>
          </cell>
          <cell r="J205" t="str">
            <v/>
          </cell>
        </row>
        <row r="206">
          <cell r="B206" t="str">
            <v>MT5336501</v>
          </cell>
          <cell r="C206">
            <v>118360</v>
          </cell>
          <cell r="D206">
            <v>11050</v>
          </cell>
          <cell r="E206">
            <v>129410</v>
          </cell>
          <cell r="F206">
            <v>8.5</v>
          </cell>
          <cell r="G206">
            <v>129410</v>
          </cell>
          <cell r="H206">
            <v>118360</v>
          </cell>
          <cell r="I206">
            <v>11050</v>
          </cell>
          <cell r="J206">
            <v>8.5</v>
          </cell>
        </row>
        <row r="207">
          <cell r="B207" t="str">
            <v>MT5336502</v>
          </cell>
          <cell r="C207">
            <v>118470</v>
          </cell>
          <cell r="D207">
            <v>11240</v>
          </cell>
          <cell r="E207">
            <v>129710</v>
          </cell>
          <cell r="F207">
            <v>8.6999999999999993</v>
          </cell>
          <cell r="G207">
            <v>129560</v>
          </cell>
          <cell r="H207">
            <v>118410</v>
          </cell>
          <cell r="I207">
            <v>11150</v>
          </cell>
          <cell r="J207">
            <v>8.6022916288780742</v>
          </cell>
        </row>
        <row r="208">
          <cell r="B208" t="str">
            <v>MT5336503</v>
          </cell>
          <cell r="C208">
            <v>119760</v>
          </cell>
          <cell r="D208">
            <v>11390</v>
          </cell>
          <cell r="E208">
            <v>131150</v>
          </cell>
          <cell r="F208">
            <v>8.6999999999999993</v>
          </cell>
          <cell r="G208">
            <v>130090</v>
          </cell>
          <cell r="H208">
            <v>118860</v>
          </cell>
          <cell r="I208">
            <v>11230</v>
          </cell>
          <cell r="J208">
            <v>8.6290084942282803</v>
          </cell>
        </row>
        <row r="209">
          <cell r="B209" t="str">
            <v>MT5336504</v>
          </cell>
          <cell r="C209">
            <v>119780</v>
          </cell>
          <cell r="D209">
            <v>10310</v>
          </cell>
          <cell r="E209">
            <v>130090</v>
          </cell>
          <cell r="F209">
            <v>7.9</v>
          </cell>
          <cell r="G209">
            <v>130090</v>
          </cell>
          <cell r="H209">
            <v>119090</v>
          </cell>
          <cell r="I209">
            <v>11000</v>
          </cell>
          <cell r="J209">
            <v>8.4525962382939142</v>
          </cell>
        </row>
        <row r="210">
          <cell r="B210" t="str">
            <v>MT5336505</v>
          </cell>
          <cell r="C210">
            <v>119670</v>
          </cell>
          <cell r="D210">
            <v>10430</v>
          </cell>
          <cell r="E210">
            <v>130100</v>
          </cell>
          <cell r="F210">
            <v>8</v>
          </cell>
          <cell r="G210">
            <v>130090</v>
          </cell>
          <cell r="H210">
            <v>119210</v>
          </cell>
          <cell r="I210">
            <v>10880</v>
          </cell>
          <cell r="J210">
            <v>8.3651189712983776</v>
          </cell>
        </row>
        <row r="211">
          <cell r="B211" t="str">
            <v>MT5336506</v>
          </cell>
          <cell r="C211">
            <v>116750</v>
          </cell>
          <cell r="D211">
            <v>10530</v>
          </cell>
          <cell r="E211">
            <v>127280</v>
          </cell>
          <cell r="F211">
            <v>8.3000000000000007</v>
          </cell>
          <cell r="G211">
            <v>129620</v>
          </cell>
          <cell r="H211">
            <v>118800</v>
          </cell>
          <cell r="I211">
            <v>10820</v>
          </cell>
          <cell r="J211">
            <v>8.3498558618330865</v>
          </cell>
        </row>
        <row r="212">
          <cell r="B212" t="str">
            <v>MT5336507</v>
          </cell>
          <cell r="C212">
            <v>115380</v>
          </cell>
          <cell r="D212">
            <v>10170</v>
          </cell>
          <cell r="E212">
            <v>125550</v>
          </cell>
          <cell r="F212">
            <v>8.1</v>
          </cell>
          <cell r="G212">
            <v>129040</v>
          </cell>
          <cell r="H212">
            <v>118310</v>
          </cell>
          <cell r="I212">
            <v>10730</v>
          </cell>
          <cell r="J212">
            <v>8.3148542802579488</v>
          </cell>
        </row>
        <row r="213">
          <cell r="B213" t="str">
            <v>MT5336508</v>
          </cell>
          <cell r="C213" t="str">
            <v/>
          </cell>
          <cell r="D213" t="str">
            <v/>
          </cell>
          <cell r="E213" t="e">
            <v>#VALUE!</v>
          </cell>
          <cell r="F213" t="str">
            <v/>
          </cell>
          <cell r="G213" t="str">
            <v/>
          </cell>
          <cell r="H213" t="str">
            <v/>
          </cell>
          <cell r="I213" t="str">
            <v/>
          </cell>
          <cell r="J213" t="str">
            <v/>
          </cell>
        </row>
        <row r="214">
          <cell r="B214" t="str">
            <v>MT5336509</v>
          </cell>
          <cell r="C214" t="str">
            <v/>
          </cell>
          <cell r="D214" t="str">
            <v/>
          </cell>
          <cell r="E214" t="e">
            <v>#VALUE!</v>
          </cell>
          <cell r="F214" t="str">
            <v/>
          </cell>
          <cell r="G214" t="str">
            <v/>
          </cell>
          <cell r="H214" t="str">
            <v/>
          </cell>
          <cell r="I214" t="str">
            <v/>
          </cell>
          <cell r="J214" t="str">
            <v/>
          </cell>
        </row>
        <row r="215">
          <cell r="B215" t="str">
            <v>MT53365010</v>
          </cell>
          <cell r="C215" t="str">
            <v/>
          </cell>
          <cell r="D215" t="str">
            <v/>
          </cell>
          <cell r="E215" t="e">
            <v>#VALUE!</v>
          </cell>
          <cell r="F215" t="str">
            <v/>
          </cell>
          <cell r="G215" t="str">
            <v/>
          </cell>
          <cell r="H215" t="str">
            <v/>
          </cell>
          <cell r="I215" t="str">
            <v/>
          </cell>
          <cell r="J215" t="str">
            <v/>
          </cell>
        </row>
        <row r="216">
          <cell r="B216" t="str">
            <v>MT53365011</v>
          </cell>
          <cell r="C216" t="str">
            <v/>
          </cell>
          <cell r="D216" t="str">
            <v/>
          </cell>
          <cell r="E216" t="e">
            <v>#VALUE!</v>
          </cell>
          <cell r="F216" t="str">
            <v/>
          </cell>
          <cell r="G216" t="str">
            <v/>
          </cell>
          <cell r="H216" t="str">
            <v/>
          </cell>
          <cell r="I216" t="str">
            <v/>
          </cell>
          <cell r="J216" t="str">
            <v/>
          </cell>
        </row>
        <row r="217">
          <cell r="B217" t="str">
            <v>MT53365012</v>
          </cell>
          <cell r="C217" t="str">
            <v/>
          </cell>
          <cell r="D217" t="str">
            <v/>
          </cell>
          <cell r="E217" t="e">
            <v>#VALUE!</v>
          </cell>
          <cell r="F217" t="str">
            <v/>
          </cell>
          <cell r="G217" t="str">
            <v/>
          </cell>
          <cell r="H217" t="str">
            <v/>
          </cell>
          <cell r="I217" t="str">
            <v/>
          </cell>
          <cell r="J217" t="str">
            <v/>
          </cell>
        </row>
        <row r="218">
          <cell r="B218" t="str">
            <v>MT5334581</v>
          </cell>
          <cell r="C218">
            <v>51380</v>
          </cell>
          <cell r="D218">
            <v>6460</v>
          </cell>
          <cell r="E218">
            <v>57840</v>
          </cell>
          <cell r="F218">
            <v>11.2</v>
          </cell>
          <cell r="G218">
            <v>57840</v>
          </cell>
          <cell r="H218">
            <v>51380</v>
          </cell>
          <cell r="I218">
            <v>6460</v>
          </cell>
          <cell r="J218">
            <v>11.2</v>
          </cell>
        </row>
        <row r="219">
          <cell r="B219" t="str">
            <v>MT5334582</v>
          </cell>
          <cell r="C219">
            <v>51810</v>
          </cell>
          <cell r="D219">
            <v>6420</v>
          </cell>
          <cell r="E219">
            <v>58230</v>
          </cell>
          <cell r="F219">
            <v>11</v>
          </cell>
          <cell r="G219">
            <v>58030</v>
          </cell>
          <cell r="H219">
            <v>51600</v>
          </cell>
          <cell r="I219">
            <v>6440</v>
          </cell>
          <cell r="J219">
            <v>11.093496915601198</v>
          </cell>
        </row>
        <row r="220">
          <cell r="B220" t="str">
            <v>MT5334583</v>
          </cell>
          <cell r="C220">
            <v>51420</v>
          </cell>
          <cell r="D220">
            <v>6500</v>
          </cell>
          <cell r="E220">
            <v>57920</v>
          </cell>
          <cell r="F220">
            <v>11.2</v>
          </cell>
          <cell r="G220">
            <v>57990</v>
          </cell>
          <cell r="H220">
            <v>51540</v>
          </cell>
          <cell r="I220">
            <v>6460</v>
          </cell>
          <cell r="J220">
            <v>11.133974399503394</v>
          </cell>
        </row>
        <row r="221">
          <cell r="B221" t="str">
            <v>MT5334584</v>
          </cell>
          <cell r="C221">
            <v>51700</v>
          </cell>
          <cell r="D221">
            <v>5700</v>
          </cell>
          <cell r="E221">
            <v>57400</v>
          </cell>
          <cell r="F221">
            <v>9.9</v>
          </cell>
          <cell r="G221">
            <v>57840</v>
          </cell>
          <cell r="H221">
            <v>51580</v>
          </cell>
          <cell r="I221">
            <v>6270</v>
          </cell>
          <cell r="J221">
            <v>10.835469078870599</v>
          </cell>
        </row>
        <row r="222">
          <cell r="B222" t="str">
            <v>MT5334585</v>
          </cell>
          <cell r="C222">
            <v>51590</v>
          </cell>
          <cell r="D222">
            <v>5620</v>
          </cell>
          <cell r="E222">
            <v>57210</v>
          </cell>
          <cell r="F222">
            <v>9.8000000000000007</v>
          </cell>
          <cell r="G222">
            <v>57720</v>
          </cell>
          <cell r="H222">
            <v>51580</v>
          </cell>
          <cell r="I222">
            <v>6140</v>
          </cell>
          <cell r="J222">
            <v>10.635503655705326</v>
          </cell>
        </row>
        <row r="223">
          <cell r="B223" t="str">
            <v>MT5334586</v>
          </cell>
          <cell r="C223">
            <v>51380</v>
          </cell>
          <cell r="D223">
            <v>5700</v>
          </cell>
          <cell r="E223">
            <v>57080</v>
          </cell>
          <cell r="F223">
            <v>10</v>
          </cell>
          <cell r="G223">
            <v>57610</v>
          </cell>
          <cell r="H223">
            <v>51550</v>
          </cell>
          <cell r="I223">
            <v>6070</v>
          </cell>
          <cell r="J223">
            <v>10.528965068344544</v>
          </cell>
        </row>
        <row r="224">
          <cell r="B224" t="str">
            <v>MT5334587</v>
          </cell>
          <cell r="C224">
            <v>52520</v>
          </cell>
          <cell r="D224">
            <v>5530</v>
          </cell>
          <cell r="E224">
            <v>58050</v>
          </cell>
          <cell r="F224">
            <v>9.5</v>
          </cell>
          <cell r="G224">
            <v>57680</v>
          </cell>
          <cell r="H224">
            <v>51690</v>
          </cell>
          <cell r="I224">
            <v>5990</v>
          </cell>
          <cell r="J224">
            <v>10.38479162796458</v>
          </cell>
        </row>
        <row r="225">
          <cell r="B225" t="str">
            <v>MT5334588</v>
          </cell>
          <cell r="C225" t="str">
            <v/>
          </cell>
          <cell r="D225" t="str">
            <v/>
          </cell>
          <cell r="E225" t="e">
            <v>#VALUE!</v>
          </cell>
          <cell r="F225" t="str">
            <v/>
          </cell>
          <cell r="G225" t="str">
            <v/>
          </cell>
          <cell r="H225" t="str">
            <v/>
          </cell>
          <cell r="I225" t="str">
            <v/>
          </cell>
          <cell r="J225" t="str">
            <v/>
          </cell>
        </row>
        <row r="226">
          <cell r="B226" t="str">
            <v>MT5334589</v>
          </cell>
          <cell r="C226" t="str">
            <v/>
          </cell>
          <cell r="D226" t="str">
            <v/>
          </cell>
          <cell r="E226" t="e">
            <v>#VALUE!</v>
          </cell>
          <cell r="F226" t="str">
            <v/>
          </cell>
          <cell r="G226" t="str">
            <v/>
          </cell>
          <cell r="H226" t="str">
            <v/>
          </cell>
          <cell r="I226" t="str">
            <v/>
          </cell>
          <cell r="J226" t="str">
            <v/>
          </cell>
        </row>
        <row r="227">
          <cell r="B227" t="str">
            <v>MT53345810</v>
          </cell>
          <cell r="C227" t="str">
            <v/>
          </cell>
          <cell r="D227" t="str">
            <v/>
          </cell>
          <cell r="E227" t="e">
            <v>#VALUE!</v>
          </cell>
          <cell r="F227" t="str">
            <v/>
          </cell>
          <cell r="G227" t="str">
            <v/>
          </cell>
          <cell r="H227" t="str">
            <v/>
          </cell>
          <cell r="I227" t="str">
            <v/>
          </cell>
          <cell r="J227" t="str">
            <v/>
          </cell>
        </row>
        <row r="228">
          <cell r="B228" t="str">
            <v>MT53345811</v>
          </cell>
          <cell r="C228" t="str">
            <v/>
          </cell>
          <cell r="D228" t="str">
            <v/>
          </cell>
          <cell r="E228" t="e">
            <v>#VALUE!</v>
          </cell>
          <cell r="F228" t="str">
            <v/>
          </cell>
          <cell r="G228" t="str">
            <v/>
          </cell>
          <cell r="H228" t="str">
            <v/>
          </cell>
          <cell r="I228" t="str">
            <v/>
          </cell>
          <cell r="J228" t="str">
            <v/>
          </cell>
        </row>
        <row r="229">
          <cell r="B229" t="str">
            <v>MT53345812</v>
          </cell>
          <cell r="C229" t="str">
            <v/>
          </cell>
          <cell r="D229" t="str">
            <v/>
          </cell>
          <cell r="E229" t="e">
            <v>#VALUE!</v>
          </cell>
          <cell r="F229" t="str">
            <v/>
          </cell>
          <cell r="G229" t="str">
            <v/>
          </cell>
          <cell r="H229" t="str">
            <v/>
          </cell>
          <cell r="I229" t="str">
            <v/>
          </cell>
          <cell r="J229" t="str">
            <v/>
          </cell>
        </row>
        <row r="230">
          <cell r="B230" t="str">
            <v>MT5331021</v>
          </cell>
          <cell r="C230">
            <v>37860</v>
          </cell>
          <cell r="D230">
            <v>5660</v>
          </cell>
          <cell r="E230">
            <v>43520</v>
          </cell>
          <cell r="F230">
            <v>13</v>
          </cell>
          <cell r="G230">
            <v>43520</v>
          </cell>
          <cell r="H230">
            <v>37860</v>
          </cell>
          <cell r="I230">
            <v>5660</v>
          </cell>
          <cell r="J230">
            <v>13</v>
          </cell>
        </row>
        <row r="231">
          <cell r="B231" t="str">
            <v>MT5331022</v>
          </cell>
          <cell r="C231">
            <v>37720</v>
          </cell>
          <cell r="D231">
            <v>5700</v>
          </cell>
          <cell r="E231">
            <v>43420</v>
          </cell>
          <cell r="F231">
            <v>13.1</v>
          </cell>
          <cell r="G231">
            <v>43470</v>
          </cell>
          <cell r="H231">
            <v>37790</v>
          </cell>
          <cell r="I231">
            <v>5680</v>
          </cell>
          <cell r="J231">
            <v>13.071331631127366</v>
          </cell>
        </row>
        <row r="232">
          <cell r="B232" t="str">
            <v>MT5331023</v>
          </cell>
          <cell r="C232">
            <v>38220</v>
          </cell>
          <cell r="D232">
            <v>5590</v>
          </cell>
          <cell r="E232">
            <v>43810</v>
          </cell>
          <cell r="F232">
            <v>12.8</v>
          </cell>
          <cell r="G232">
            <v>43580</v>
          </cell>
          <cell r="H232">
            <v>37930</v>
          </cell>
          <cell r="I232">
            <v>5650</v>
          </cell>
          <cell r="J232">
            <v>12.96806167400881</v>
          </cell>
        </row>
        <row r="233">
          <cell r="B233" t="str">
            <v>MT5331024</v>
          </cell>
          <cell r="C233">
            <v>37880</v>
          </cell>
          <cell r="D233">
            <v>5200</v>
          </cell>
          <cell r="E233">
            <v>43080</v>
          </cell>
          <cell r="F233">
            <v>12.1</v>
          </cell>
          <cell r="G233">
            <v>43460</v>
          </cell>
          <cell r="H233">
            <v>37920</v>
          </cell>
          <cell r="I233">
            <v>5540</v>
          </cell>
          <cell r="J233">
            <v>12.74363163586994</v>
          </cell>
        </row>
        <row r="234">
          <cell r="B234" t="str">
            <v>MT5331025</v>
          </cell>
          <cell r="C234">
            <v>38380</v>
          </cell>
          <cell r="D234">
            <v>5140</v>
          </cell>
          <cell r="E234">
            <v>43520</v>
          </cell>
          <cell r="F234">
            <v>11.8</v>
          </cell>
          <cell r="G234">
            <v>43470</v>
          </cell>
          <cell r="H234">
            <v>38010</v>
          </cell>
          <cell r="I234">
            <v>5460</v>
          </cell>
          <cell r="J234">
            <v>12.555901135506192</v>
          </cell>
        </row>
        <row r="235">
          <cell r="B235" t="str">
            <v>MT5331026</v>
          </cell>
          <cell r="C235">
            <v>37370</v>
          </cell>
          <cell r="D235">
            <v>5220</v>
          </cell>
          <cell r="E235">
            <v>42590</v>
          </cell>
          <cell r="F235">
            <v>12.2</v>
          </cell>
          <cell r="G235">
            <v>43320</v>
          </cell>
          <cell r="H235">
            <v>37900</v>
          </cell>
          <cell r="I235">
            <v>5420</v>
          </cell>
          <cell r="J235">
            <v>12.505770651237228</v>
          </cell>
        </row>
        <row r="236">
          <cell r="B236" t="str">
            <v>MT5331027</v>
          </cell>
          <cell r="C236">
            <v>37390</v>
          </cell>
          <cell r="D236">
            <v>4800</v>
          </cell>
          <cell r="E236">
            <v>42190</v>
          </cell>
          <cell r="F236">
            <v>11.4</v>
          </cell>
          <cell r="G236">
            <v>43160</v>
          </cell>
          <cell r="H236">
            <v>37830</v>
          </cell>
          <cell r="I236">
            <v>5330</v>
          </cell>
          <cell r="J236">
            <v>12.348576119047305</v>
          </cell>
        </row>
        <row r="237">
          <cell r="B237" t="str">
            <v>MT5331028</v>
          </cell>
          <cell r="C237" t="str">
            <v/>
          </cell>
          <cell r="D237" t="str">
            <v/>
          </cell>
          <cell r="E237" t="e">
            <v>#VALUE!</v>
          </cell>
          <cell r="F237" t="str">
            <v/>
          </cell>
          <cell r="G237" t="str">
            <v/>
          </cell>
          <cell r="H237" t="str">
            <v/>
          </cell>
          <cell r="I237" t="str">
            <v/>
          </cell>
          <cell r="J237" t="str">
            <v/>
          </cell>
        </row>
        <row r="238">
          <cell r="B238" t="str">
            <v>MT5331029</v>
          </cell>
          <cell r="C238" t="str">
            <v/>
          </cell>
          <cell r="D238" t="str">
            <v/>
          </cell>
          <cell r="E238" t="e">
            <v>#VALUE!</v>
          </cell>
          <cell r="F238" t="str">
            <v/>
          </cell>
          <cell r="G238" t="str">
            <v/>
          </cell>
          <cell r="H238" t="str">
            <v/>
          </cell>
          <cell r="I238" t="str">
            <v/>
          </cell>
          <cell r="J238" t="str">
            <v/>
          </cell>
        </row>
        <row r="239">
          <cell r="B239" t="str">
            <v>MT53310210</v>
          </cell>
          <cell r="C239" t="str">
            <v/>
          </cell>
          <cell r="D239" t="str">
            <v/>
          </cell>
          <cell r="E239" t="e">
            <v>#VALUE!</v>
          </cell>
          <cell r="F239" t="str">
            <v/>
          </cell>
          <cell r="G239" t="str">
            <v/>
          </cell>
          <cell r="H239" t="str">
            <v/>
          </cell>
          <cell r="I239" t="str">
            <v/>
          </cell>
          <cell r="J239" t="str">
            <v/>
          </cell>
        </row>
        <row r="240">
          <cell r="B240" t="str">
            <v>MT53310211</v>
          </cell>
          <cell r="C240" t="str">
            <v/>
          </cell>
          <cell r="D240" t="str">
            <v/>
          </cell>
          <cell r="E240" t="e">
            <v>#VALUE!</v>
          </cell>
          <cell r="F240" t="str">
            <v/>
          </cell>
          <cell r="G240" t="str">
            <v/>
          </cell>
          <cell r="H240" t="str">
            <v/>
          </cell>
          <cell r="I240" t="str">
            <v/>
          </cell>
          <cell r="J240" t="str">
            <v/>
          </cell>
        </row>
        <row r="241">
          <cell r="B241" t="str">
            <v>MT53310212</v>
          </cell>
          <cell r="C241" t="str">
            <v/>
          </cell>
          <cell r="D241" t="str">
            <v/>
          </cell>
          <cell r="E241" t="e">
            <v>#VALUE!</v>
          </cell>
          <cell r="F241" t="str">
            <v/>
          </cell>
          <cell r="G241" t="str">
            <v/>
          </cell>
          <cell r="H241" t="str">
            <v/>
          </cell>
          <cell r="I241" t="str">
            <v/>
          </cell>
          <cell r="J241" t="str">
            <v/>
          </cell>
        </row>
        <row r="242">
          <cell r="B242" t="str">
            <v>MT5328421</v>
          </cell>
          <cell r="C242">
            <v>120420</v>
          </cell>
          <cell r="D242">
            <v>11370</v>
          </cell>
          <cell r="E242">
            <v>131790</v>
          </cell>
          <cell r="F242">
            <v>8.6</v>
          </cell>
          <cell r="G242">
            <v>131790</v>
          </cell>
          <cell r="H242">
            <v>120420</v>
          </cell>
          <cell r="I242">
            <v>11370</v>
          </cell>
          <cell r="J242">
            <v>8.6</v>
          </cell>
        </row>
        <row r="243">
          <cell r="B243" t="str">
            <v>MT5328422</v>
          </cell>
          <cell r="C243">
            <v>120870</v>
          </cell>
          <cell r="D243">
            <v>10980</v>
          </cell>
          <cell r="E243">
            <v>131850</v>
          </cell>
          <cell r="F243">
            <v>8.3000000000000007</v>
          </cell>
          <cell r="G243">
            <v>131820</v>
          </cell>
          <cell r="H243">
            <v>120650</v>
          </cell>
          <cell r="I243">
            <v>11170</v>
          </cell>
          <cell r="J243">
            <v>8.4760163557605495</v>
          </cell>
        </row>
        <row r="244">
          <cell r="B244" t="str">
            <v>MT5328423</v>
          </cell>
          <cell r="C244">
            <v>122480</v>
          </cell>
          <cell r="D244">
            <v>10740</v>
          </cell>
          <cell r="E244">
            <v>133220</v>
          </cell>
          <cell r="F244">
            <v>8.1</v>
          </cell>
          <cell r="G244">
            <v>132290</v>
          </cell>
          <cell r="H244">
            <v>121260</v>
          </cell>
          <cell r="I244">
            <v>11030</v>
          </cell>
          <cell r="J244">
            <v>8.337029048319792</v>
          </cell>
        </row>
        <row r="245">
          <cell r="B245" t="str">
            <v>MT5328424</v>
          </cell>
          <cell r="C245">
            <v>122860</v>
          </cell>
          <cell r="D245">
            <v>9530</v>
          </cell>
          <cell r="E245">
            <v>132390</v>
          </cell>
          <cell r="F245">
            <v>7.2</v>
          </cell>
          <cell r="G245">
            <v>132310</v>
          </cell>
          <cell r="H245">
            <v>121660</v>
          </cell>
          <cell r="I245">
            <v>10650</v>
          </cell>
          <cell r="J245">
            <v>8.0514543331456458</v>
          </cell>
        </row>
        <row r="246">
          <cell r="B246" t="str">
            <v>MT5328425</v>
          </cell>
          <cell r="C246">
            <v>123480</v>
          </cell>
          <cell r="D246">
            <v>9670</v>
          </cell>
          <cell r="E246">
            <v>133150</v>
          </cell>
          <cell r="F246">
            <v>7.3</v>
          </cell>
          <cell r="G246">
            <v>132480</v>
          </cell>
          <cell r="H246">
            <v>122020</v>
          </cell>
          <cell r="I246">
            <v>10460</v>
          </cell>
          <cell r="J246">
            <v>7.8931755221582289</v>
          </cell>
        </row>
        <row r="247">
          <cell r="B247" t="str">
            <v>MT5328426</v>
          </cell>
          <cell r="C247">
            <v>128000</v>
          </cell>
          <cell r="D247">
            <v>9920</v>
          </cell>
          <cell r="E247">
            <v>137920</v>
          </cell>
          <cell r="F247">
            <v>7.2</v>
          </cell>
          <cell r="G247">
            <v>133390</v>
          </cell>
          <cell r="H247">
            <v>123020</v>
          </cell>
          <cell r="I247">
            <v>10370</v>
          </cell>
          <cell r="J247">
            <v>7.7723243626876455</v>
          </cell>
        </row>
        <row r="248">
          <cell r="B248" t="str">
            <v>MT5328427</v>
          </cell>
          <cell r="C248">
            <v>125250</v>
          </cell>
          <cell r="D248">
            <v>9730</v>
          </cell>
          <cell r="E248">
            <v>134980</v>
          </cell>
          <cell r="F248">
            <v>7.2</v>
          </cell>
          <cell r="G248">
            <v>133610</v>
          </cell>
          <cell r="H248">
            <v>123340</v>
          </cell>
          <cell r="I248">
            <v>10280</v>
          </cell>
          <cell r="J248">
            <v>7.6906956802518165</v>
          </cell>
        </row>
        <row r="249">
          <cell r="B249" t="str">
            <v>MT5328428</v>
          </cell>
          <cell r="C249" t="str">
            <v/>
          </cell>
          <cell r="D249" t="str">
            <v/>
          </cell>
          <cell r="E249" t="e">
            <v>#VALUE!</v>
          </cell>
          <cell r="F249" t="str">
            <v/>
          </cell>
          <cell r="G249" t="str">
            <v/>
          </cell>
          <cell r="H249" t="str">
            <v/>
          </cell>
          <cell r="I249" t="str">
            <v/>
          </cell>
          <cell r="J249" t="str">
            <v/>
          </cell>
        </row>
        <row r="250">
          <cell r="B250" t="str">
            <v>MT5328429</v>
          </cell>
          <cell r="C250" t="str">
            <v/>
          </cell>
          <cell r="D250" t="str">
            <v/>
          </cell>
          <cell r="E250" t="e">
            <v>#VALUE!</v>
          </cell>
          <cell r="F250" t="str">
            <v/>
          </cell>
          <cell r="G250" t="str">
            <v/>
          </cell>
          <cell r="H250" t="str">
            <v/>
          </cell>
          <cell r="I250" t="str">
            <v/>
          </cell>
          <cell r="J250" t="str">
            <v/>
          </cell>
        </row>
        <row r="251">
          <cell r="B251" t="str">
            <v>MT53284210</v>
          </cell>
          <cell r="C251" t="str">
            <v/>
          </cell>
          <cell r="D251" t="str">
            <v/>
          </cell>
          <cell r="E251" t="e">
            <v>#VALUE!</v>
          </cell>
          <cell r="F251" t="str">
            <v/>
          </cell>
          <cell r="G251" t="str">
            <v/>
          </cell>
          <cell r="H251" t="str">
            <v/>
          </cell>
          <cell r="I251" t="str">
            <v/>
          </cell>
          <cell r="J251" t="str">
            <v/>
          </cell>
        </row>
        <row r="252">
          <cell r="B252" t="str">
            <v>MT53284211</v>
          </cell>
          <cell r="C252" t="str">
            <v/>
          </cell>
          <cell r="D252" t="str">
            <v/>
          </cell>
          <cell r="E252" t="e">
            <v>#VALUE!</v>
          </cell>
          <cell r="F252" t="str">
            <v/>
          </cell>
          <cell r="G252" t="str">
            <v/>
          </cell>
          <cell r="H252" t="str">
            <v/>
          </cell>
          <cell r="I252" t="str">
            <v/>
          </cell>
          <cell r="J252" t="str">
            <v/>
          </cell>
        </row>
        <row r="253">
          <cell r="B253" t="str">
            <v>MT53284212</v>
          </cell>
          <cell r="C253" t="str">
            <v/>
          </cell>
          <cell r="D253" t="str">
            <v/>
          </cell>
          <cell r="E253" t="e">
            <v>#VALUE!</v>
          </cell>
          <cell r="F253" t="str">
            <v/>
          </cell>
          <cell r="G253" t="str">
            <v/>
          </cell>
          <cell r="H253" t="str">
            <v/>
          </cell>
          <cell r="I253" t="str">
            <v/>
          </cell>
          <cell r="J253" t="str">
            <v/>
          </cell>
        </row>
        <row r="254">
          <cell r="B254" t="str">
            <v>MT5314741</v>
          </cell>
          <cell r="C254">
            <v>114560</v>
          </cell>
          <cell r="D254">
            <v>10000</v>
          </cell>
          <cell r="E254">
            <v>124560</v>
          </cell>
          <cell r="F254">
            <v>8</v>
          </cell>
          <cell r="G254">
            <v>124560</v>
          </cell>
          <cell r="H254">
            <v>114560</v>
          </cell>
          <cell r="I254">
            <v>10000</v>
          </cell>
          <cell r="J254">
            <v>8</v>
          </cell>
        </row>
        <row r="255">
          <cell r="B255" t="str">
            <v>MT5314742</v>
          </cell>
          <cell r="C255">
            <v>113840</v>
          </cell>
          <cell r="D255">
            <v>10120</v>
          </cell>
          <cell r="E255">
            <v>123960</v>
          </cell>
          <cell r="F255">
            <v>8.1999999999999993</v>
          </cell>
          <cell r="G255">
            <v>124260</v>
          </cell>
          <cell r="H255">
            <v>114200</v>
          </cell>
          <cell r="I255">
            <v>10060</v>
          </cell>
          <cell r="J255">
            <v>8.0955255110252704</v>
          </cell>
        </row>
        <row r="256">
          <cell r="B256" t="str">
            <v>MT5314743</v>
          </cell>
          <cell r="C256">
            <v>113700</v>
          </cell>
          <cell r="D256">
            <v>10370</v>
          </cell>
          <cell r="E256">
            <v>124070</v>
          </cell>
          <cell r="F256">
            <v>8.4</v>
          </cell>
          <cell r="G256">
            <v>124200</v>
          </cell>
          <cell r="H256">
            <v>114040</v>
          </cell>
          <cell r="I256">
            <v>10160</v>
          </cell>
          <cell r="J256">
            <v>8.1826550686674189</v>
          </cell>
        </row>
        <row r="257">
          <cell r="B257" t="str">
            <v>MT5314744</v>
          </cell>
          <cell r="C257">
            <v>113340</v>
          </cell>
          <cell r="D257">
            <v>9240</v>
          </cell>
          <cell r="E257">
            <v>122580</v>
          </cell>
          <cell r="F257">
            <v>7.5</v>
          </cell>
          <cell r="G257">
            <v>123790</v>
          </cell>
          <cell r="H257">
            <v>113860</v>
          </cell>
          <cell r="I257">
            <v>9930</v>
          </cell>
          <cell r="J257">
            <v>8.0235793997310054</v>
          </cell>
        </row>
        <row r="258">
          <cell r="B258" t="str">
            <v>MT5314745</v>
          </cell>
          <cell r="C258">
            <v>113330</v>
          </cell>
          <cell r="D258">
            <v>9440</v>
          </cell>
          <cell r="E258">
            <v>122770</v>
          </cell>
          <cell r="F258">
            <v>7.7</v>
          </cell>
          <cell r="G258">
            <v>123590</v>
          </cell>
          <cell r="H258">
            <v>113750</v>
          </cell>
          <cell r="I258">
            <v>9830</v>
          </cell>
          <cell r="J258">
            <v>7.9570574584669762</v>
          </cell>
        </row>
        <row r="259">
          <cell r="B259" t="str">
            <v>MT5314746</v>
          </cell>
          <cell r="C259">
            <v>110930</v>
          </cell>
          <cell r="D259">
            <v>9540</v>
          </cell>
          <cell r="E259">
            <v>120470</v>
          </cell>
          <cell r="F259">
            <v>7.9</v>
          </cell>
          <cell r="G259">
            <v>123070</v>
          </cell>
          <cell r="H259">
            <v>113280</v>
          </cell>
          <cell r="I259">
            <v>9790</v>
          </cell>
          <cell r="J259">
            <v>7.9509274569789152</v>
          </cell>
        </row>
        <row r="260">
          <cell r="B260" t="str">
            <v>MT5314747</v>
          </cell>
          <cell r="C260">
            <v>109860</v>
          </cell>
          <cell r="D260">
            <v>9190</v>
          </cell>
          <cell r="E260">
            <v>119050</v>
          </cell>
          <cell r="F260">
            <v>7.7</v>
          </cell>
          <cell r="G260">
            <v>122490</v>
          </cell>
          <cell r="H260">
            <v>112790</v>
          </cell>
          <cell r="I260">
            <v>9700</v>
          </cell>
          <cell r="J260">
            <v>7.9183960982391</v>
          </cell>
        </row>
        <row r="261">
          <cell r="B261" t="str">
            <v>MT5314748</v>
          </cell>
          <cell r="C261" t="str">
            <v/>
          </cell>
          <cell r="D261" t="str">
            <v/>
          </cell>
          <cell r="E261" t="e">
            <v>#VALUE!</v>
          </cell>
          <cell r="F261" t="str">
            <v/>
          </cell>
          <cell r="G261" t="str">
            <v/>
          </cell>
          <cell r="H261" t="str">
            <v/>
          </cell>
          <cell r="I261" t="str">
            <v/>
          </cell>
          <cell r="J261" t="str">
            <v/>
          </cell>
        </row>
        <row r="262">
          <cell r="B262" t="str">
            <v>MT5314749</v>
          </cell>
          <cell r="C262" t="str">
            <v/>
          </cell>
          <cell r="D262" t="str">
            <v/>
          </cell>
          <cell r="E262" t="e">
            <v>#VALUE!</v>
          </cell>
          <cell r="F262" t="str">
            <v/>
          </cell>
          <cell r="G262" t="str">
            <v/>
          </cell>
          <cell r="H262" t="str">
            <v/>
          </cell>
          <cell r="I262" t="str">
            <v/>
          </cell>
          <cell r="J262" t="str">
            <v/>
          </cell>
        </row>
        <row r="263">
          <cell r="B263" t="str">
            <v>MT53147410</v>
          </cell>
          <cell r="C263" t="str">
            <v/>
          </cell>
          <cell r="D263" t="str">
            <v/>
          </cell>
          <cell r="E263" t="e">
            <v>#VALUE!</v>
          </cell>
          <cell r="F263" t="str">
            <v/>
          </cell>
          <cell r="G263" t="str">
            <v/>
          </cell>
          <cell r="H263" t="str">
            <v/>
          </cell>
          <cell r="I263" t="str">
            <v/>
          </cell>
          <cell r="J263" t="str">
            <v/>
          </cell>
        </row>
        <row r="264">
          <cell r="B264" t="str">
            <v>MT53147411</v>
          </cell>
          <cell r="C264" t="str">
            <v/>
          </cell>
          <cell r="D264" t="str">
            <v/>
          </cell>
          <cell r="E264" t="e">
            <v>#VALUE!</v>
          </cell>
          <cell r="F264" t="str">
            <v/>
          </cell>
          <cell r="G264" t="str">
            <v/>
          </cell>
          <cell r="H264" t="str">
            <v/>
          </cell>
          <cell r="I264" t="str">
            <v/>
          </cell>
          <cell r="J264" t="str">
            <v/>
          </cell>
        </row>
        <row r="265">
          <cell r="B265" t="str">
            <v>MT53147412</v>
          </cell>
          <cell r="C265" t="str">
            <v/>
          </cell>
          <cell r="D265" t="str">
            <v/>
          </cell>
          <cell r="E265" t="e">
            <v>#VALUE!</v>
          </cell>
          <cell r="F265" t="str">
            <v/>
          </cell>
          <cell r="G265" t="str">
            <v/>
          </cell>
          <cell r="H265" t="str">
            <v/>
          </cell>
          <cell r="I265" t="str">
            <v/>
          </cell>
          <cell r="J265" t="str">
            <v/>
          </cell>
        </row>
        <row r="266">
          <cell r="B266" t="str">
            <v>MT5313381</v>
          </cell>
          <cell r="C266">
            <v>94990</v>
          </cell>
          <cell r="D266">
            <v>9790</v>
          </cell>
          <cell r="E266">
            <v>104780</v>
          </cell>
          <cell r="F266">
            <v>9.3000000000000007</v>
          </cell>
          <cell r="G266">
            <v>104780</v>
          </cell>
          <cell r="H266">
            <v>94990</v>
          </cell>
          <cell r="I266">
            <v>9790</v>
          </cell>
          <cell r="J266">
            <v>9.3000000000000007</v>
          </cell>
        </row>
        <row r="267">
          <cell r="B267" t="str">
            <v>MT5313382</v>
          </cell>
          <cell r="C267">
            <v>94850</v>
          </cell>
          <cell r="D267">
            <v>9750</v>
          </cell>
          <cell r="E267">
            <v>104600</v>
          </cell>
          <cell r="F267">
            <v>9.3000000000000007</v>
          </cell>
          <cell r="G267">
            <v>104680</v>
          </cell>
          <cell r="H267">
            <v>94920</v>
          </cell>
          <cell r="I267">
            <v>9770</v>
          </cell>
          <cell r="J267">
            <v>9.3299390072073702</v>
          </cell>
        </row>
        <row r="268">
          <cell r="B268" t="str">
            <v>MT5313383</v>
          </cell>
          <cell r="C268">
            <v>95820</v>
          </cell>
          <cell r="D268">
            <v>9830</v>
          </cell>
          <cell r="E268">
            <v>105650</v>
          </cell>
          <cell r="F268">
            <v>9.3000000000000007</v>
          </cell>
          <cell r="G268">
            <v>105010</v>
          </cell>
          <cell r="H268">
            <v>95220</v>
          </cell>
          <cell r="I268">
            <v>9790</v>
          </cell>
          <cell r="J268">
            <v>9.3218294479150803</v>
          </cell>
        </row>
        <row r="269">
          <cell r="B269" t="str">
            <v>MT5313384</v>
          </cell>
          <cell r="C269">
            <v>95130</v>
          </cell>
          <cell r="D269">
            <v>8430</v>
          </cell>
          <cell r="E269">
            <v>103560</v>
          </cell>
          <cell r="F269">
            <v>8.1</v>
          </cell>
          <cell r="G269">
            <v>104650</v>
          </cell>
          <cell r="H269">
            <v>95200</v>
          </cell>
          <cell r="I269">
            <v>9450</v>
          </cell>
          <cell r="J269">
            <v>9.0299677006287862</v>
          </cell>
        </row>
        <row r="270">
          <cell r="B270" t="str">
            <v>MT5313385</v>
          </cell>
          <cell r="C270">
            <v>96410</v>
          </cell>
          <cell r="D270">
            <v>8490</v>
          </cell>
          <cell r="E270">
            <v>104900</v>
          </cell>
          <cell r="F270">
            <v>8.1</v>
          </cell>
          <cell r="G270">
            <v>104700</v>
          </cell>
          <cell r="H270">
            <v>95440</v>
          </cell>
          <cell r="I270">
            <v>9260</v>
          </cell>
          <cell r="J270">
            <v>8.8420312640287939</v>
          </cell>
        </row>
        <row r="271">
          <cell r="B271" t="str">
            <v>MT5313386</v>
          </cell>
          <cell r="C271">
            <v>94890</v>
          </cell>
          <cell r="D271">
            <v>8850</v>
          </cell>
          <cell r="E271">
            <v>103740</v>
          </cell>
          <cell r="F271">
            <v>8.5</v>
          </cell>
          <cell r="G271">
            <v>104540</v>
          </cell>
          <cell r="H271">
            <v>95350</v>
          </cell>
          <cell r="I271">
            <v>9190</v>
          </cell>
          <cell r="J271">
            <v>8.7902451779126238</v>
          </cell>
        </row>
        <row r="272">
          <cell r="B272" t="str">
            <v>MT5313387</v>
          </cell>
          <cell r="C272">
            <v>94390</v>
          </cell>
          <cell r="D272">
            <v>8750</v>
          </cell>
          <cell r="E272">
            <v>103140</v>
          </cell>
          <cell r="F272">
            <v>8.5</v>
          </cell>
          <cell r="G272">
            <v>104340</v>
          </cell>
          <cell r="H272">
            <v>95210</v>
          </cell>
          <cell r="I272">
            <v>9130</v>
          </cell>
          <cell r="J272">
            <v>8.7472410714774718</v>
          </cell>
        </row>
        <row r="273">
          <cell r="B273" t="str">
            <v>MT5313388</v>
          </cell>
          <cell r="C273" t="str">
            <v/>
          </cell>
          <cell r="D273" t="str">
            <v/>
          </cell>
          <cell r="E273" t="e">
            <v>#VALUE!</v>
          </cell>
          <cell r="F273" t="str">
            <v/>
          </cell>
          <cell r="G273" t="str">
            <v/>
          </cell>
          <cell r="H273" t="str">
            <v/>
          </cell>
          <cell r="I273" t="str">
            <v/>
          </cell>
          <cell r="J273" t="str">
            <v/>
          </cell>
        </row>
        <row r="274">
          <cell r="B274" t="str">
            <v>MT5313389</v>
          </cell>
          <cell r="C274" t="str">
            <v/>
          </cell>
          <cell r="D274" t="str">
            <v/>
          </cell>
          <cell r="E274" t="e">
            <v>#VALUE!</v>
          </cell>
          <cell r="F274" t="str">
            <v/>
          </cell>
          <cell r="G274" t="str">
            <v/>
          </cell>
          <cell r="H274" t="str">
            <v/>
          </cell>
          <cell r="I274" t="str">
            <v/>
          </cell>
          <cell r="J274" t="str">
            <v/>
          </cell>
        </row>
        <row r="275">
          <cell r="B275" t="str">
            <v>MT53133810</v>
          </cell>
          <cell r="C275" t="str">
            <v/>
          </cell>
          <cell r="D275" t="str">
            <v/>
          </cell>
          <cell r="E275" t="e">
            <v>#VALUE!</v>
          </cell>
          <cell r="F275" t="str">
            <v/>
          </cell>
          <cell r="G275" t="str">
            <v/>
          </cell>
          <cell r="H275" t="str">
            <v/>
          </cell>
          <cell r="I275" t="str">
            <v/>
          </cell>
          <cell r="J275" t="str">
            <v/>
          </cell>
        </row>
        <row r="276">
          <cell r="B276" t="str">
            <v>MT53133811</v>
          </cell>
          <cell r="C276" t="str">
            <v/>
          </cell>
          <cell r="D276" t="str">
            <v/>
          </cell>
          <cell r="E276" t="e">
            <v>#VALUE!</v>
          </cell>
          <cell r="F276" t="str">
            <v/>
          </cell>
          <cell r="G276" t="str">
            <v/>
          </cell>
          <cell r="H276" t="str">
            <v/>
          </cell>
          <cell r="I276" t="str">
            <v/>
          </cell>
          <cell r="J276" t="str">
            <v/>
          </cell>
        </row>
        <row r="277">
          <cell r="B277" t="str">
            <v>MT53133812</v>
          </cell>
          <cell r="C277" t="str">
            <v/>
          </cell>
          <cell r="D277" t="str">
            <v/>
          </cell>
          <cell r="E277" t="e">
            <v>#VALUE!</v>
          </cell>
          <cell r="F277" t="str">
            <v/>
          </cell>
          <cell r="G277" t="str">
            <v/>
          </cell>
          <cell r="H277" t="str">
            <v/>
          </cell>
          <cell r="I277" t="str">
            <v/>
          </cell>
          <cell r="J277" t="str">
            <v/>
          </cell>
        </row>
        <row r="278">
          <cell r="B278" t="str">
            <v>MC5347461</v>
          </cell>
          <cell r="C278">
            <v>27620</v>
          </cell>
          <cell r="D278">
            <v>2630</v>
          </cell>
          <cell r="E278">
            <v>30250</v>
          </cell>
          <cell r="F278">
            <v>8.6999999999999993</v>
          </cell>
          <cell r="G278">
            <v>30250</v>
          </cell>
          <cell r="H278">
            <v>27620</v>
          </cell>
          <cell r="I278">
            <v>2630</v>
          </cell>
          <cell r="J278">
            <v>8.6999999999999993</v>
          </cell>
        </row>
        <row r="279">
          <cell r="B279" t="str">
            <v>MC5347462</v>
          </cell>
          <cell r="C279">
            <v>28030</v>
          </cell>
          <cell r="D279">
            <v>2640</v>
          </cell>
          <cell r="E279">
            <v>30670</v>
          </cell>
          <cell r="F279">
            <v>8.6</v>
          </cell>
          <cell r="G279">
            <v>30460</v>
          </cell>
          <cell r="H279">
            <v>27820</v>
          </cell>
          <cell r="I279">
            <v>2630</v>
          </cell>
          <cell r="J279">
            <v>8.6439008373009365</v>
          </cell>
        </row>
        <row r="280">
          <cell r="B280" t="str">
            <v>MC5347463</v>
          </cell>
          <cell r="C280">
            <v>28490</v>
          </cell>
          <cell r="D280">
            <v>2620</v>
          </cell>
          <cell r="E280">
            <v>31110</v>
          </cell>
          <cell r="F280">
            <v>8.4</v>
          </cell>
          <cell r="G280">
            <v>30670</v>
          </cell>
          <cell r="H280">
            <v>28050</v>
          </cell>
          <cell r="I280">
            <v>2630</v>
          </cell>
          <cell r="J280">
            <v>8.5706834161024972</v>
          </cell>
        </row>
        <row r="281">
          <cell r="B281" t="str">
            <v>MC5347464</v>
          </cell>
          <cell r="C281">
            <v>28560</v>
          </cell>
          <cell r="D281">
            <v>2230</v>
          </cell>
          <cell r="E281">
            <v>30790</v>
          </cell>
          <cell r="F281">
            <v>7.2</v>
          </cell>
          <cell r="G281">
            <v>30700</v>
          </cell>
          <cell r="H281">
            <v>28170</v>
          </cell>
          <cell r="I281">
            <v>2530</v>
          </cell>
          <cell r="J281">
            <v>8.2360317227677626</v>
          </cell>
        </row>
        <row r="282">
          <cell r="B282" t="str">
            <v>MC5347465</v>
          </cell>
          <cell r="C282">
            <v>28990</v>
          </cell>
          <cell r="D282">
            <v>2310</v>
          </cell>
          <cell r="E282">
            <v>31300</v>
          </cell>
          <cell r="F282">
            <v>7.4</v>
          </cell>
          <cell r="G282">
            <v>30820</v>
          </cell>
          <cell r="H282">
            <v>28340</v>
          </cell>
          <cell r="I282">
            <v>2490</v>
          </cell>
          <cell r="J282">
            <v>8.0626532916336835</v>
          </cell>
        </row>
        <row r="283">
          <cell r="B283" t="str">
            <v>MC5347466</v>
          </cell>
          <cell r="C283">
            <v>29530</v>
          </cell>
          <cell r="D283">
            <v>2330</v>
          </cell>
          <cell r="E283">
            <v>31860</v>
          </cell>
          <cell r="F283">
            <v>7.3</v>
          </cell>
          <cell r="G283">
            <v>31000</v>
          </cell>
          <cell r="H283">
            <v>28540</v>
          </cell>
          <cell r="I283">
            <v>2460</v>
          </cell>
          <cell r="J283">
            <v>7.9342717955887263</v>
          </cell>
        </row>
        <row r="284">
          <cell r="B284" t="str">
            <v>MC5347467</v>
          </cell>
          <cell r="C284">
            <v>29080</v>
          </cell>
          <cell r="D284">
            <v>2150</v>
          </cell>
          <cell r="E284">
            <v>31230</v>
          </cell>
          <cell r="F284">
            <v>6.9</v>
          </cell>
          <cell r="G284">
            <v>31030</v>
          </cell>
          <cell r="H284">
            <v>28610</v>
          </cell>
          <cell r="I284">
            <v>2420</v>
          </cell>
          <cell r="J284">
            <v>7.7852002928082431</v>
          </cell>
        </row>
        <row r="285">
          <cell r="B285" t="str">
            <v>MC5347468</v>
          </cell>
          <cell r="C285" t="str">
            <v/>
          </cell>
          <cell r="D285" t="str">
            <v/>
          </cell>
          <cell r="E285" t="e">
            <v>#VALUE!</v>
          </cell>
          <cell r="F285" t="str">
            <v/>
          </cell>
          <cell r="G285" t="str">
            <v/>
          </cell>
          <cell r="H285" t="str">
            <v/>
          </cell>
          <cell r="I285" t="str">
            <v/>
          </cell>
          <cell r="J285" t="str">
            <v/>
          </cell>
        </row>
        <row r="286">
          <cell r="B286" t="str">
            <v>MC5347469</v>
          </cell>
          <cell r="C286" t="str">
            <v/>
          </cell>
          <cell r="D286" t="str">
            <v/>
          </cell>
          <cell r="E286" t="e">
            <v>#VALUE!</v>
          </cell>
          <cell r="F286" t="str">
            <v/>
          </cell>
          <cell r="G286" t="str">
            <v/>
          </cell>
          <cell r="H286" t="str">
            <v/>
          </cell>
          <cell r="I286" t="str">
            <v/>
          </cell>
          <cell r="J286" t="str">
            <v/>
          </cell>
        </row>
        <row r="287">
          <cell r="B287" t="str">
            <v>MC53474610</v>
          </cell>
          <cell r="C287" t="str">
            <v/>
          </cell>
          <cell r="D287" t="str">
            <v/>
          </cell>
          <cell r="E287" t="e">
            <v>#VALUE!</v>
          </cell>
          <cell r="F287" t="str">
            <v/>
          </cell>
          <cell r="G287" t="str">
            <v/>
          </cell>
          <cell r="H287" t="str">
            <v/>
          </cell>
          <cell r="I287" t="str">
            <v/>
          </cell>
          <cell r="J287" t="str">
            <v/>
          </cell>
        </row>
        <row r="288">
          <cell r="B288" t="str">
            <v>MC53474611</v>
          </cell>
          <cell r="C288" t="str">
            <v/>
          </cell>
          <cell r="D288" t="str">
            <v/>
          </cell>
          <cell r="E288" t="e">
            <v>#VALUE!</v>
          </cell>
          <cell r="F288" t="str">
            <v/>
          </cell>
          <cell r="G288" t="str">
            <v/>
          </cell>
          <cell r="H288" t="str">
            <v/>
          </cell>
          <cell r="I288" t="str">
            <v/>
          </cell>
          <cell r="J288" t="str">
            <v/>
          </cell>
        </row>
        <row r="289">
          <cell r="B289" t="str">
            <v>MC53474612</v>
          </cell>
          <cell r="C289" t="str">
            <v/>
          </cell>
          <cell r="D289" t="str">
            <v/>
          </cell>
          <cell r="E289" t="e">
            <v>#VALUE!</v>
          </cell>
          <cell r="F289" t="str">
            <v/>
          </cell>
          <cell r="G289" t="str">
            <v/>
          </cell>
          <cell r="H289" t="str">
            <v/>
          </cell>
          <cell r="I289" t="str">
            <v/>
          </cell>
          <cell r="J289" t="str">
            <v/>
          </cell>
        </row>
        <row r="290">
          <cell r="B290" t="str">
            <v>MC5343221</v>
          </cell>
          <cell r="C290">
            <v>22260</v>
          </cell>
          <cell r="D290">
            <v>2900</v>
          </cell>
          <cell r="E290">
            <v>25160</v>
          </cell>
          <cell r="F290">
            <v>11.5</v>
          </cell>
          <cell r="G290">
            <v>25160</v>
          </cell>
          <cell r="H290">
            <v>22260</v>
          </cell>
          <cell r="I290">
            <v>2900</v>
          </cell>
          <cell r="J290">
            <v>11.5</v>
          </cell>
        </row>
        <row r="291">
          <cell r="B291" t="str">
            <v>MC5343222</v>
          </cell>
          <cell r="C291">
            <v>22140</v>
          </cell>
          <cell r="D291">
            <v>3050</v>
          </cell>
          <cell r="E291">
            <v>25190</v>
          </cell>
          <cell r="F291">
            <v>12.1</v>
          </cell>
          <cell r="G291">
            <v>25170</v>
          </cell>
          <cell r="H291">
            <v>22200</v>
          </cell>
          <cell r="I291">
            <v>2980</v>
          </cell>
          <cell r="J291">
            <v>11.828149207484209</v>
          </cell>
        </row>
        <row r="292">
          <cell r="B292" t="str">
            <v>MC5343223</v>
          </cell>
          <cell r="C292">
            <v>22190</v>
          </cell>
          <cell r="D292">
            <v>2920</v>
          </cell>
          <cell r="E292">
            <v>25110</v>
          </cell>
          <cell r="F292">
            <v>11.6</v>
          </cell>
          <cell r="G292">
            <v>25150</v>
          </cell>
          <cell r="H292">
            <v>22190</v>
          </cell>
          <cell r="I292">
            <v>2960</v>
          </cell>
          <cell r="J292">
            <v>11.75901506818453</v>
          </cell>
        </row>
        <row r="293">
          <cell r="B293" t="str">
            <v>MC5343224</v>
          </cell>
          <cell r="C293">
            <v>22160</v>
          </cell>
          <cell r="D293">
            <v>2640</v>
          </cell>
          <cell r="E293">
            <v>24800</v>
          </cell>
          <cell r="F293">
            <v>10.6</v>
          </cell>
          <cell r="G293">
            <v>25060</v>
          </cell>
          <cell r="H293">
            <v>22190</v>
          </cell>
          <cell r="I293">
            <v>2880</v>
          </cell>
          <cell r="J293">
            <v>11.484370324562629</v>
          </cell>
        </row>
        <row r="294">
          <cell r="B294" t="str">
            <v>MC5343225</v>
          </cell>
          <cell r="C294">
            <v>22310</v>
          </cell>
          <cell r="D294">
            <v>2630</v>
          </cell>
          <cell r="E294">
            <v>24940</v>
          </cell>
          <cell r="F294">
            <v>10.5</v>
          </cell>
          <cell r="G294">
            <v>25040</v>
          </cell>
          <cell r="H294">
            <v>22210</v>
          </cell>
          <cell r="I294">
            <v>2830</v>
          </cell>
          <cell r="J294">
            <v>11.297575781780424</v>
          </cell>
        </row>
        <row r="295">
          <cell r="B295" t="str">
            <v>MC5343226</v>
          </cell>
          <cell r="C295">
            <v>22250</v>
          </cell>
          <cell r="D295">
            <v>2650</v>
          </cell>
          <cell r="E295">
            <v>24900</v>
          </cell>
          <cell r="F295">
            <v>10.6</v>
          </cell>
          <cell r="G295">
            <v>25020</v>
          </cell>
          <cell r="H295">
            <v>22220</v>
          </cell>
          <cell r="I295">
            <v>2800</v>
          </cell>
          <cell r="J295">
            <v>11.189211878127269</v>
          </cell>
        </row>
        <row r="296">
          <cell r="B296" t="str">
            <v>MC5343227</v>
          </cell>
          <cell r="C296">
            <v>21930</v>
          </cell>
          <cell r="D296">
            <v>2530</v>
          </cell>
          <cell r="E296">
            <v>24460</v>
          </cell>
          <cell r="F296">
            <v>10.3</v>
          </cell>
          <cell r="G296">
            <v>24940</v>
          </cell>
          <cell r="H296">
            <v>22180</v>
          </cell>
          <cell r="I296">
            <v>2760</v>
          </cell>
          <cell r="J296">
            <v>11.071518595751506</v>
          </cell>
        </row>
        <row r="297">
          <cell r="B297" t="str">
            <v>MC5343228</v>
          </cell>
          <cell r="C297" t="str">
            <v/>
          </cell>
          <cell r="D297" t="str">
            <v/>
          </cell>
          <cell r="E297" t="e">
            <v>#VALUE!</v>
          </cell>
          <cell r="F297" t="str">
            <v/>
          </cell>
          <cell r="G297" t="str">
            <v/>
          </cell>
          <cell r="H297" t="str">
            <v/>
          </cell>
          <cell r="I297" t="str">
            <v/>
          </cell>
          <cell r="J297" t="str">
            <v/>
          </cell>
        </row>
        <row r="298">
          <cell r="B298" t="str">
            <v>MC5343229</v>
          </cell>
          <cell r="C298" t="str">
            <v/>
          </cell>
          <cell r="D298" t="str">
            <v/>
          </cell>
          <cell r="E298" t="e">
            <v>#VALUE!</v>
          </cell>
          <cell r="F298" t="str">
            <v/>
          </cell>
          <cell r="G298" t="str">
            <v/>
          </cell>
          <cell r="H298" t="str">
            <v/>
          </cell>
          <cell r="I298" t="str">
            <v/>
          </cell>
          <cell r="J298" t="str">
            <v/>
          </cell>
        </row>
        <row r="299">
          <cell r="B299" t="str">
            <v>MC53432210</v>
          </cell>
          <cell r="C299" t="str">
            <v/>
          </cell>
          <cell r="D299" t="str">
            <v/>
          </cell>
          <cell r="E299" t="e">
            <v>#VALUE!</v>
          </cell>
          <cell r="F299" t="str">
            <v/>
          </cell>
          <cell r="G299" t="str">
            <v/>
          </cell>
          <cell r="H299" t="str">
            <v/>
          </cell>
          <cell r="I299" t="str">
            <v/>
          </cell>
          <cell r="J299" t="str">
            <v/>
          </cell>
        </row>
        <row r="300">
          <cell r="B300" t="str">
            <v>MC53432211</v>
          </cell>
          <cell r="C300" t="str">
            <v/>
          </cell>
          <cell r="D300" t="str">
            <v/>
          </cell>
          <cell r="E300" t="e">
            <v>#VALUE!</v>
          </cell>
          <cell r="F300" t="str">
            <v/>
          </cell>
          <cell r="G300" t="str">
            <v/>
          </cell>
          <cell r="H300" t="str">
            <v/>
          </cell>
          <cell r="I300" t="str">
            <v/>
          </cell>
          <cell r="J300" t="str">
            <v/>
          </cell>
        </row>
        <row r="301">
          <cell r="B301" t="str">
            <v>MC53432212</v>
          </cell>
          <cell r="C301" t="str">
            <v/>
          </cell>
          <cell r="D301" t="str">
            <v/>
          </cell>
          <cell r="E301" t="e">
            <v>#VALUE!</v>
          </cell>
          <cell r="F301" t="str">
            <v/>
          </cell>
          <cell r="G301" t="str">
            <v/>
          </cell>
          <cell r="H301" t="str">
            <v/>
          </cell>
          <cell r="I301" t="str">
            <v/>
          </cell>
          <cell r="J301" t="str">
            <v/>
          </cell>
        </row>
        <row r="302">
          <cell r="B302" t="str">
            <v>MC5339421</v>
          </cell>
          <cell r="C302">
            <v>20030</v>
          </cell>
          <cell r="D302">
            <v>1320</v>
          </cell>
          <cell r="E302">
            <v>21350</v>
          </cell>
          <cell r="F302">
            <v>6.2</v>
          </cell>
          <cell r="G302">
            <v>21350</v>
          </cell>
          <cell r="H302">
            <v>20030</v>
          </cell>
          <cell r="I302">
            <v>1320</v>
          </cell>
          <cell r="J302">
            <v>6.2</v>
          </cell>
        </row>
        <row r="303">
          <cell r="B303" t="str">
            <v>MC5339422</v>
          </cell>
          <cell r="C303">
            <v>20890</v>
          </cell>
          <cell r="D303">
            <v>1410</v>
          </cell>
          <cell r="E303">
            <v>22300</v>
          </cell>
          <cell r="F303">
            <v>6.3</v>
          </cell>
          <cell r="G303">
            <v>21830</v>
          </cell>
          <cell r="H303">
            <v>20460</v>
          </cell>
          <cell r="I303">
            <v>1360</v>
          </cell>
          <cell r="J303">
            <v>6.2494272885549345</v>
          </cell>
        </row>
        <row r="304">
          <cell r="B304" t="str">
            <v>MC5339423</v>
          </cell>
          <cell r="C304">
            <v>21180</v>
          </cell>
          <cell r="D304">
            <v>1530</v>
          </cell>
          <cell r="E304">
            <v>22710</v>
          </cell>
          <cell r="F304">
            <v>6.7</v>
          </cell>
          <cell r="G304">
            <v>22120</v>
          </cell>
          <cell r="H304">
            <v>20700</v>
          </cell>
          <cell r="I304">
            <v>1420</v>
          </cell>
          <cell r="J304">
            <v>6.4104882459312842</v>
          </cell>
        </row>
        <row r="305">
          <cell r="B305" t="str">
            <v>MC5339424</v>
          </cell>
          <cell r="C305">
            <v>21330</v>
          </cell>
          <cell r="D305">
            <v>1220</v>
          </cell>
          <cell r="E305">
            <v>22550</v>
          </cell>
          <cell r="F305">
            <v>5.4</v>
          </cell>
          <cell r="G305">
            <v>22230</v>
          </cell>
          <cell r="H305">
            <v>20860</v>
          </cell>
          <cell r="I305">
            <v>1370</v>
          </cell>
          <cell r="J305">
            <v>6.1568570111012386</v>
          </cell>
        </row>
        <row r="306">
          <cell r="B306" t="str">
            <v>MC5339425</v>
          </cell>
          <cell r="C306">
            <v>21520</v>
          </cell>
          <cell r="D306">
            <v>1340</v>
          </cell>
          <cell r="E306">
            <v>22860</v>
          </cell>
          <cell r="F306">
            <v>5.9</v>
          </cell>
          <cell r="G306">
            <v>22350</v>
          </cell>
          <cell r="H306">
            <v>20990</v>
          </cell>
          <cell r="I306">
            <v>1360</v>
          </cell>
          <cell r="J306">
            <v>6.0964480629864894</v>
          </cell>
        </row>
        <row r="307">
          <cell r="B307" t="str">
            <v>MC5339426</v>
          </cell>
          <cell r="C307">
            <v>18560</v>
          </cell>
          <cell r="D307">
            <v>1410</v>
          </cell>
          <cell r="E307">
            <v>19970</v>
          </cell>
          <cell r="F307">
            <v>7</v>
          </cell>
          <cell r="G307">
            <v>21960</v>
          </cell>
          <cell r="H307">
            <v>20590</v>
          </cell>
          <cell r="I307">
            <v>1370</v>
          </cell>
          <cell r="J307">
            <v>6.2388510615687069</v>
          </cell>
        </row>
        <row r="308">
          <cell r="B308" t="str">
            <v>MC5339427</v>
          </cell>
          <cell r="C308">
            <v>17870</v>
          </cell>
          <cell r="D308">
            <v>1460</v>
          </cell>
          <cell r="E308">
            <v>19330</v>
          </cell>
          <cell r="F308">
            <v>7.5</v>
          </cell>
          <cell r="G308">
            <v>21580</v>
          </cell>
          <cell r="H308">
            <v>20200</v>
          </cell>
          <cell r="I308">
            <v>1380</v>
          </cell>
          <cell r="J308">
            <v>6.4049778248494071</v>
          </cell>
        </row>
        <row r="309">
          <cell r="B309" t="str">
            <v>MC5339428</v>
          </cell>
          <cell r="C309" t="str">
            <v/>
          </cell>
          <cell r="D309" t="str">
            <v/>
          </cell>
          <cell r="E309" t="e">
            <v>#VALUE!</v>
          </cell>
          <cell r="F309" t="str">
            <v/>
          </cell>
          <cell r="G309" t="str">
            <v/>
          </cell>
          <cell r="H309" t="str">
            <v/>
          </cell>
          <cell r="I309" t="str">
            <v/>
          </cell>
          <cell r="J309" t="str">
            <v/>
          </cell>
        </row>
        <row r="310">
          <cell r="B310" t="str">
            <v>MC5339429</v>
          </cell>
          <cell r="C310" t="str">
            <v/>
          </cell>
          <cell r="D310" t="str">
            <v/>
          </cell>
          <cell r="E310" t="e">
            <v>#VALUE!</v>
          </cell>
          <cell r="F310" t="str">
            <v/>
          </cell>
          <cell r="G310" t="str">
            <v/>
          </cell>
          <cell r="H310" t="str">
            <v/>
          </cell>
          <cell r="I310" t="str">
            <v/>
          </cell>
          <cell r="J310" t="str">
            <v/>
          </cell>
        </row>
        <row r="311">
          <cell r="B311" t="str">
            <v>MC53394210</v>
          </cell>
          <cell r="C311" t="str">
            <v/>
          </cell>
          <cell r="D311" t="str">
            <v/>
          </cell>
          <cell r="E311" t="e">
            <v>#VALUE!</v>
          </cell>
          <cell r="F311" t="str">
            <v/>
          </cell>
          <cell r="G311" t="str">
            <v/>
          </cell>
          <cell r="H311" t="str">
            <v/>
          </cell>
          <cell r="I311" t="str">
            <v/>
          </cell>
          <cell r="J311" t="str">
            <v/>
          </cell>
        </row>
        <row r="312">
          <cell r="B312" t="str">
            <v>MC53394211</v>
          </cell>
          <cell r="C312" t="str">
            <v/>
          </cell>
          <cell r="D312" t="str">
            <v/>
          </cell>
          <cell r="E312" t="e">
            <v>#VALUE!</v>
          </cell>
          <cell r="F312" t="str">
            <v/>
          </cell>
          <cell r="G312" t="str">
            <v/>
          </cell>
          <cell r="H312" t="str">
            <v/>
          </cell>
          <cell r="I312" t="str">
            <v/>
          </cell>
          <cell r="J312" t="str">
            <v/>
          </cell>
        </row>
        <row r="313">
          <cell r="B313" t="str">
            <v>MC53394212</v>
          </cell>
          <cell r="C313" t="str">
            <v/>
          </cell>
          <cell r="D313" t="str">
            <v/>
          </cell>
          <cell r="E313" t="e">
            <v>#VALUE!</v>
          </cell>
          <cell r="F313" t="str">
            <v/>
          </cell>
          <cell r="G313" t="str">
            <v/>
          </cell>
          <cell r="H313" t="str">
            <v/>
          </cell>
          <cell r="I313" t="str">
            <v/>
          </cell>
          <cell r="J313" t="str">
            <v/>
          </cell>
        </row>
        <row r="314">
          <cell r="B314" t="str">
            <v>MC5338821</v>
          </cell>
          <cell r="C314">
            <v>26590</v>
          </cell>
          <cell r="D314">
            <v>3370</v>
          </cell>
          <cell r="E314">
            <v>29960</v>
          </cell>
          <cell r="F314">
            <v>11.3</v>
          </cell>
          <cell r="G314">
            <v>29960</v>
          </cell>
          <cell r="H314">
            <v>26590</v>
          </cell>
          <cell r="I314">
            <v>3370</v>
          </cell>
          <cell r="J314">
            <v>11.3</v>
          </cell>
        </row>
        <row r="315">
          <cell r="B315" t="str">
            <v>MC5338822</v>
          </cell>
          <cell r="C315">
            <v>26680</v>
          </cell>
          <cell r="D315">
            <v>3320</v>
          </cell>
          <cell r="E315">
            <v>30000</v>
          </cell>
          <cell r="F315">
            <v>11.1</v>
          </cell>
          <cell r="G315">
            <v>29990</v>
          </cell>
          <cell r="H315">
            <v>26640</v>
          </cell>
          <cell r="I315">
            <v>3350</v>
          </cell>
          <cell r="J315">
            <v>11.163915290978823</v>
          </cell>
        </row>
        <row r="316">
          <cell r="B316" t="str">
            <v>MC5338823</v>
          </cell>
          <cell r="C316">
            <v>26590</v>
          </cell>
          <cell r="D316">
            <v>3390</v>
          </cell>
          <cell r="E316">
            <v>29980</v>
          </cell>
          <cell r="F316">
            <v>11.3</v>
          </cell>
          <cell r="G316">
            <v>29980</v>
          </cell>
          <cell r="H316">
            <v>26620</v>
          </cell>
          <cell r="I316">
            <v>3360</v>
          </cell>
          <cell r="J316">
            <v>11.20808503068576</v>
          </cell>
        </row>
        <row r="317">
          <cell r="B317" t="str">
            <v>MC5338824</v>
          </cell>
          <cell r="C317">
            <v>26680</v>
          </cell>
          <cell r="D317">
            <v>2980</v>
          </cell>
          <cell r="E317">
            <v>29660</v>
          </cell>
          <cell r="F317">
            <v>10.1</v>
          </cell>
          <cell r="G317">
            <v>29900</v>
          </cell>
          <cell r="H317">
            <v>26640</v>
          </cell>
          <cell r="I317">
            <v>3270</v>
          </cell>
          <cell r="J317">
            <v>10.921966840296648</v>
          </cell>
        </row>
        <row r="318">
          <cell r="B318" t="str">
            <v>MC5338825</v>
          </cell>
          <cell r="C318">
            <v>26990</v>
          </cell>
          <cell r="D318">
            <v>2960</v>
          </cell>
          <cell r="E318">
            <v>29950</v>
          </cell>
          <cell r="F318">
            <v>9.9</v>
          </cell>
          <cell r="G318">
            <v>29910</v>
          </cell>
          <cell r="H318">
            <v>26710</v>
          </cell>
          <cell r="I318">
            <v>3200</v>
          </cell>
          <cell r="J318">
            <v>10.71438123512263</v>
          </cell>
        </row>
        <row r="319">
          <cell r="B319" t="str">
            <v>MC5338826</v>
          </cell>
          <cell r="C319">
            <v>26480</v>
          </cell>
          <cell r="D319">
            <v>2960</v>
          </cell>
          <cell r="E319">
            <v>29440</v>
          </cell>
          <cell r="F319">
            <v>10.1</v>
          </cell>
          <cell r="G319">
            <v>29830</v>
          </cell>
          <cell r="H319">
            <v>26670</v>
          </cell>
          <cell r="I319">
            <v>3160</v>
          </cell>
          <cell r="J319">
            <v>10.607262569832402</v>
          </cell>
        </row>
        <row r="320">
          <cell r="B320" t="str">
            <v>MC5338827</v>
          </cell>
          <cell r="C320">
            <v>26260</v>
          </cell>
          <cell r="D320">
            <v>2840</v>
          </cell>
          <cell r="E320">
            <v>29100</v>
          </cell>
          <cell r="F320">
            <v>9.8000000000000007</v>
          </cell>
          <cell r="G320">
            <v>29730</v>
          </cell>
          <cell r="H320">
            <v>26610</v>
          </cell>
          <cell r="I320">
            <v>3120</v>
          </cell>
          <cell r="J320">
            <v>10.488808157694933</v>
          </cell>
        </row>
        <row r="321">
          <cell r="B321" t="str">
            <v>MC5338828</v>
          </cell>
          <cell r="C321" t="str">
            <v/>
          </cell>
          <cell r="D321" t="str">
            <v/>
          </cell>
          <cell r="E321" t="e">
            <v>#VALUE!</v>
          </cell>
          <cell r="F321" t="str">
            <v/>
          </cell>
          <cell r="G321" t="str">
            <v/>
          </cell>
          <cell r="H321" t="str">
            <v/>
          </cell>
          <cell r="I321" t="str">
            <v/>
          </cell>
          <cell r="J321" t="str">
            <v/>
          </cell>
        </row>
        <row r="322">
          <cell r="B322" t="str">
            <v>MC5338829</v>
          </cell>
          <cell r="C322" t="str">
            <v/>
          </cell>
          <cell r="D322" t="str">
            <v/>
          </cell>
          <cell r="E322" t="e">
            <v>#VALUE!</v>
          </cell>
          <cell r="F322" t="str">
            <v/>
          </cell>
          <cell r="G322" t="str">
            <v/>
          </cell>
          <cell r="H322" t="str">
            <v/>
          </cell>
          <cell r="I322" t="str">
            <v/>
          </cell>
          <cell r="J322" t="str">
            <v/>
          </cell>
        </row>
        <row r="323">
          <cell r="B323" t="str">
            <v>MC53388210</v>
          </cell>
          <cell r="C323" t="str">
            <v/>
          </cell>
          <cell r="D323" t="str">
            <v/>
          </cell>
          <cell r="E323" t="e">
            <v>#VALUE!</v>
          </cell>
          <cell r="F323" t="str">
            <v/>
          </cell>
          <cell r="G323" t="str">
            <v/>
          </cell>
          <cell r="H323" t="str">
            <v/>
          </cell>
          <cell r="I323" t="str">
            <v/>
          </cell>
          <cell r="J323" t="str">
            <v/>
          </cell>
        </row>
        <row r="324">
          <cell r="B324" t="str">
            <v>MC53388211</v>
          </cell>
          <cell r="C324" t="str">
            <v/>
          </cell>
          <cell r="D324" t="str">
            <v/>
          </cell>
          <cell r="E324" t="e">
            <v>#VALUE!</v>
          </cell>
          <cell r="F324" t="str">
            <v/>
          </cell>
          <cell r="G324" t="str">
            <v/>
          </cell>
          <cell r="H324" t="str">
            <v/>
          </cell>
          <cell r="I324" t="str">
            <v/>
          </cell>
          <cell r="J324" t="str">
            <v/>
          </cell>
        </row>
        <row r="325">
          <cell r="B325" t="str">
            <v>MC53388212</v>
          </cell>
          <cell r="C325" t="str">
            <v/>
          </cell>
          <cell r="D325" t="str">
            <v/>
          </cell>
          <cell r="E325" t="e">
            <v>#VALUE!</v>
          </cell>
          <cell r="F325" t="str">
            <v/>
          </cell>
          <cell r="G325" t="str">
            <v/>
          </cell>
          <cell r="H325" t="str">
            <v/>
          </cell>
          <cell r="I325" t="str">
            <v/>
          </cell>
          <cell r="J325" t="str">
            <v/>
          </cell>
        </row>
        <row r="326">
          <cell r="B326" t="str">
            <v>MC5336021</v>
          </cell>
          <cell r="C326">
            <v>29520</v>
          </cell>
          <cell r="D326">
            <v>3120</v>
          </cell>
          <cell r="E326">
            <v>32640</v>
          </cell>
          <cell r="F326">
            <v>9.5</v>
          </cell>
          <cell r="G326">
            <v>32630</v>
          </cell>
          <cell r="H326">
            <v>29520</v>
          </cell>
          <cell r="I326">
            <v>3120</v>
          </cell>
          <cell r="J326">
            <v>9.5</v>
          </cell>
        </row>
        <row r="327">
          <cell r="B327" t="str">
            <v>MC5336022</v>
          </cell>
          <cell r="C327">
            <v>29470</v>
          </cell>
          <cell r="D327">
            <v>3170</v>
          </cell>
          <cell r="E327">
            <v>32640</v>
          </cell>
          <cell r="F327">
            <v>9.6999999999999993</v>
          </cell>
          <cell r="G327">
            <v>32630</v>
          </cell>
          <cell r="H327">
            <v>29490</v>
          </cell>
          <cell r="I327">
            <v>3140</v>
          </cell>
          <cell r="J327">
            <v>9.6279953422810571</v>
          </cell>
        </row>
        <row r="328">
          <cell r="B328" t="str">
            <v>MC5336023</v>
          </cell>
          <cell r="C328">
            <v>29600</v>
          </cell>
          <cell r="D328">
            <v>3280</v>
          </cell>
          <cell r="E328">
            <v>32880</v>
          </cell>
          <cell r="F328">
            <v>10</v>
          </cell>
          <cell r="G328">
            <v>32710</v>
          </cell>
          <cell r="H328">
            <v>29530</v>
          </cell>
          <cell r="I328">
            <v>3190</v>
          </cell>
          <cell r="J328">
            <v>9.7397701336811213</v>
          </cell>
        </row>
        <row r="329">
          <cell r="B329" t="str">
            <v>MC5336024</v>
          </cell>
          <cell r="C329">
            <v>29390</v>
          </cell>
          <cell r="D329">
            <v>2900</v>
          </cell>
          <cell r="E329">
            <v>32290</v>
          </cell>
          <cell r="F329">
            <v>9</v>
          </cell>
          <cell r="G329">
            <v>32610</v>
          </cell>
          <cell r="H329">
            <v>29490</v>
          </cell>
          <cell r="I329">
            <v>3120</v>
          </cell>
          <cell r="J329">
            <v>9.5531244489761491</v>
          </cell>
        </row>
        <row r="330">
          <cell r="B330" t="str">
            <v>MC5336025</v>
          </cell>
          <cell r="C330">
            <v>29820</v>
          </cell>
          <cell r="D330">
            <v>2940</v>
          </cell>
          <cell r="E330">
            <v>32760</v>
          </cell>
          <cell r="F330">
            <v>9</v>
          </cell>
          <cell r="G330">
            <v>32640</v>
          </cell>
          <cell r="H330">
            <v>29560</v>
          </cell>
          <cell r="I330">
            <v>3080</v>
          </cell>
          <cell r="J330">
            <v>9.4355115446835622</v>
          </cell>
        </row>
        <row r="331">
          <cell r="B331" t="str">
            <v>MC5336026</v>
          </cell>
          <cell r="C331">
            <v>29120</v>
          </cell>
          <cell r="D331">
            <v>3030</v>
          </cell>
          <cell r="E331">
            <v>32150</v>
          </cell>
          <cell r="F331">
            <v>9.4</v>
          </cell>
          <cell r="G331">
            <v>32560</v>
          </cell>
          <cell r="H331">
            <v>29490</v>
          </cell>
          <cell r="I331">
            <v>3070</v>
          </cell>
          <cell r="J331">
            <v>9.4357588229873759</v>
          </cell>
        </row>
        <row r="332">
          <cell r="B332" t="str">
            <v>MC5336027</v>
          </cell>
          <cell r="C332">
            <v>28470</v>
          </cell>
          <cell r="D332">
            <v>2880</v>
          </cell>
          <cell r="E332">
            <v>31350</v>
          </cell>
          <cell r="F332">
            <v>9.1999999999999993</v>
          </cell>
          <cell r="G332">
            <v>32390</v>
          </cell>
          <cell r="H332">
            <v>29340</v>
          </cell>
          <cell r="I332">
            <v>3040</v>
          </cell>
          <cell r="J332">
            <v>9.4011777939522254</v>
          </cell>
        </row>
        <row r="333">
          <cell r="B333" t="str">
            <v>MC5336028</v>
          </cell>
          <cell r="C333" t="str">
            <v/>
          </cell>
          <cell r="D333" t="str">
            <v/>
          </cell>
          <cell r="E333" t="e">
            <v>#VALUE!</v>
          </cell>
          <cell r="F333" t="str">
            <v/>
          </cell>
          <cell r="G333" t="str">
            <v/>
          </cell>
          <cell r="H333" t="str">
            <v/>
          </cell>
          <cell r="I333" t="str">
            <v/>
          </cell>
          <cell r="J333" t="str">
            <v/>
          </cell>
        </row>
        <row r="334">
          <cell r="B334" t="str">
            <v>MC5336029</v>
          </cell>
          <cell r="C334" t="str">
            <v/>
          </cell>
          <cell r="D334" t="str">
            <v/>
          </cell>
          <cell r="E334" t="e">
            <v>#VALUE!</v>
          </cell>
          <cell r="F334" t="str">
            <v/>
          </cell>
          <cell r="G334" t="str">
            <v/>
          </cell>
          <cell r="H334" t="str">
            <v/>
          </cell>
          <cell r="I334" t="str">
            <v/>
          </cell>
          <cell r="J334" t="str">
            <v/>
          </cell>
        </row>
        <row r="335">
          <cell r="B335" t="str">
            <v>MC53360210</v>
          </cell>
          <cell r="C335" t="str">
            <v/>
          </cell>
          <cell r="D335" t="str">
            <v/>
          </cell>
          <cell r="E335" t="e">
            <v>#VALUE!</v>
          </cell>
          <cell r="F335" t="str">
            <v/>
          </cell>
          <cell r="G335" t="str">
            <v/>
          </cell>
          <cell r="H335" t="str">
            <v/>
          </cell>
          <cell r="I335" t="str">
            <v/>
          </cell>
          <cell r="J335" t="str">
            <v/>
          </cell>
        </row>
        <row r="336">
          <cell r="B336" t="str">
            <v>MC53360211</v>
          </cell>
          <cell r="C336" t="str">
            <v/>
          </cell>
          <cell r="D336" t="str">
            <v/>
          </cell>
          <cell r="E336" t="e">
            <v>#VALUE!</v>
          </cell>
          <cell r="F336" t="str">
            <v/>
          </cell>
          <cell r="G336" t="str">
            <v/>
          </cell>
          <cell r="H336" t="str">
            <v/>
          </cell>
          <cell r="I336" t="str">
            <v/>
          </cell>
          <cell r="J336" t="str">
            <v/>
          </cell>
        </row>
        <row r="337">
          <cell r="B337" t="str">
            <v>MC53360212</v>
          </cell>
          <cell r="C337" t="str">
            <v/>
          </cell>
          <cell r="D337" t="str">
            <v/>
          </cell>
          <cell r="E337" t="e">
            <v>#VALUE!</v>
          </cell>
          <cell r="F337" t="str">
            <v/>
          </cell>
          <cell r="G337" t="str">
            <v/>
          </cell>
          <cell r="H337" t="str">
            <v/>
          </cell>
          <cell r="I337" t="str">
            <v/>
          </cell>
          <cell r="J337" t="str">
            <v/>
          </cell>
        </row>
        <row r="338">
          <cell r="B338" t="str">
            <v>MC5334181</v>
          </cell>
          <cell r="C338">
            <v>34410</v>
          </cell>
          <cell r="D338">
            <v>5120</v>
          </cell>
          <cell r="E338">
            <v>39530</v>
          </cell>
          <cell r="F338">
            <v>12.9</v>
          </cell>
          <cell r="G338">
            <v>39520</v>
          </cell>
          <cell r="H338">
            <v>34410</v>
          </cell>
          <cell r="I338">
            <v>5120</v>
          </cell>
          <cell r="J338">
            <v>12.9</v>
          </cell>
        </row>
        <row r="339">
          <cell r="B339" t="str">
            <v>MC5334182</v>
          </cell>
          <cell r="C339">
            <v>34680</v>
          </cell>
          <cell r="D339">
            <v>4830</v>
          </cell>
          <cell r="E339">
            <v>39510</v>
          </cell>
          <cell r="F339">
            <v>12.2</v>
          </cell>
          <cell r="G339">
            <v>39520</v>
          </cell>
          <cell r="H339">
            <v>34550</v>
          </cell>
          <cell r="I339">
            <v>4970</v>
          </cell>
          <cell r="J339">
            <v>12.581608380990941</v>
          </cell>
        </row>
        <row r="340">
          <cell r="B340" t="str">
            <v>MC5334183</v>
          </cell>
          <cell r="C340">
            <v>35220</v>
          </cell>
          <cell r="D340">
            <v>4630</v>
          </cell>
          <cell r="E340">
            <v>39850</v>
          </cell>
          <cell r="F340">
            <v>11.6</v>
          </cell>
          <cell r="G340">
            <v>39630</v>
          </cell>
          <cell r="H340">
            <v>34770</v>
          </cell>
          <cell r="I340">
            <v>4860</v>
          </cell>
          <cell r="J340">
            <v>12.257326469499679</v>
          </cell>
        </row>
        <row r="341">
          <cell r="B341" t="str">
            <v>MC5334184</v>
          </cell>
          <cell r="C341">
            <v>37370</v>
          </cell>
          <cell r="D341">
            <v>3930</v>
          </cell>
          <cell r="E341">
            <v>41300</v>
          </cell>
          <cell r="F341">
            <v>9.5</v>
          </cell>
          <cell r="G341">
            <v>40050</v>
          </cell>
          <cell r="H341">
            <v>35420</v>
          </cell>
          <cell r="I341">
            <v>4620</v>
          </cell>
          <cell r="J341">
            <v>11.547417641073023</v>
          </cell>
        </row>
        <row r="342">
          <cell r="B342" t="str">
            <v>MC5334185</v>
          </cell>
          <cell r="C342">
            <v>38020</v>
          </cell>
          <cell r="D342">
            <v>3980</v>
          </cell>
          <cell r="E342">
            <v>42000</v>
          </cell>
          <cell r="F342">
            <v>9.5</v>
          </cell>
          <cell r="G342">
            <v>40440</v>
          </cell>
          <cell r="H342">
            <v>35940</v>
          </cell>
          <cell r="I342">
            <v>4500</v>
          </cell>
          <cell r="J342">
            <v>11.118255424594794</v>
          </cell>
        </row>
        <row r="343">
          <cell r="B343" t="str">
            <v>MC5334186</v>
          </cell>
          <cell r="C343">
            <v>40440</v>
          </cell>
          <cell r="D343">
            <v>3950</v>
          </cell>
          <cell r="E343">
            <v>44390</v>
          </cell>
          <cell r="F343">
            <v>8.9</v>
          </cell>
          <cell r="G343">
            <v>41100</v>
          </cell>
          <cell r="H343">
            <v>36690</v>
          </cell>
          <cell r="I343">
            <v>4400</v>
          </cell>
          <cell r="J343">
            <v>10.717356390831075</v>
          </cell>
        </row>
        <row r="344">
          <cell r="B344" t="str">
            <v>MC5334187</v>
          </cell>
          <cell r="C344">
            <v>41380</v>
          </cell>
          <cell r="D344">
            <v>3850</v>
          </cell>
          <cell r="E344">
            <v>45230</v>
          </cell>
          <cell r="F344">
            <v>8.5</v>
          </cell>
          <cell r="G344">
            <v>41690</v>
          </cell>
          <cell r="H344">
            <v>37360</v>
          </cell>
          <cell r="I344">
            <v>4320</v>
          </cell>
          <cell r="J344">
            <v>10.374028430821532</v>
          </cell>
        </row>
        <row r="345">
          <cell r="B345" t="str">
            <v>MC5334188</v>
          </cell>
          <cell r="C345" t="str">
            <v/>
          </cell>
          <cell r="D345" t="str">
            <v/>
          </cell>
          <cell r="E345" t="e">
            <v>#VALUE!</v>
          </cell>
          <cell r="F345" t="str">
            <v/>
          </cell>
          <cell r="G345" t="str">
            <v/>
          </cell>
          <cell r="H345" t="str">
            <v/>
          </cell>
          <cell r="I345" t="str">
            <v/>
          </cell>
          <cell r="J345" t="str">
            <v/>
          </cell>
        </row>
        <row r="346">
          <cell r="B346" t="str">
            <v>MC5334189</v>
          </cell>
          <cell r="C346" t="str">
            <v/>
          </cell>
          <cell r="D346" t="str">
            <v/>
          </cell>
          <cell r="E346" t="e">
            <v>#VALUE!</v>
          </cell>
          <cell r="F346" t="str">
            <v/>
          </cell>
          <cell r="G346" t="str">
            <v/>
          </cell>
          <cell r="H346" t="str">
            <v/>
          </cell>
          <cell r="I346" t="str">
            <v/>
          </cell>
          <cell r="J346" t="str">
            <v/>
          </cell>
        </row>
        <row r="347">
          <cell r="B347" t="str">
            <v>MC53341810</v>
          </cell>
          <cell r="C347" t="str">
            <v/>
          </cell>
          <cell r="D347" t="str">
            <v/>
          </cell>
          <cell r="E347" t="e">
            <v>#VALUE!</v>
          </cell>
          <cell r="F347" t="str">
            <v/>
          </cell>
          <cell r="G347" t="str">
            <v/>
          </cell>
          <cell r="H347" t="str">
            <v/>
          </cell>
          <cell r="I347" t="str">
            <v/>
          </cell>
          <cell r="J347" t="str">
            <v/>
          </cell>
        </row>
        <row r="348">
          <cell r="B348" t="str">
            <v>MC53341811</v>
          </cell>
          <cell r="C348" t="str">
            <v/>
          </cell>
          <cell r="D348" t="str">
            <v/>
          </cell>
          <cell r="E348" t="e">
            <v>#VALUE!</v>
          </cell>
          <cell r="F348" t="str">
            <v/>
          </cell>
          <cell r="G348" t="str">
            <v/>
          </cell>
          <cell r="H348" t="str">
            <v/>
          </cell>
          <cell r="I348" t="str">
            <v/>
          </cell>
          <cell r="J348" t="str">
            <v/>
          </cell>
        </row>
        <row r="349">
          <cell r="B349" t="str">
            <v>MC53341812</v>
          </cell>
          <cell r="C349" t="str">
            <v/>
          </cell>
          <cell r="D349" t="str">
            <v/>
          </cell>
          <cell r="E349" t="e">
            <v>#VALUE!</v>
          </cell>
          <cell r="F349" t="str">
            <v/>
          </cell>
          <cell r="G349" t="str">
            <v/>
          </cell>
          <cell r="H349" t="str">
            <v/>
          </cell>
          <cell r="I349" t="str">
            <v/>
          </cell>
          <cell r="J349" t="str">
            <v/>
          </cell>
        </row>
        <row r="350">
          <cell r="B350" t="str">
            <v>MC5321261</v>
          </cell>
          <cell r="C350">
            <v>19180</v>
          </cell>
          <cell r="D350">
            <v>2100</v>
          </cell>
          <cell r="E350">
            <v>21280</v>
          </cell>
          <cell r="F350">
            <v>9.9</v>
          </cell>
          <cell r="G350">
            <v>21280</v>
          </cell>
          <cell r="H350">
            <v>19180</v>
          </cell>
          <cell r="I350">
            <v>2100</v>
          </cell>
          <cell r="J350">
            <v>9.9</v>
          </cell>
        </row>
        <row r="351">
          <cell r="B351" t="str">
            <v>MC5321262</v>
          </cell>
          <cell r="C351">
            <v>19320</v>
          </cell>
          <cell r="D351">
            <v>2080</v>
          </cell>
          <cell r="E351">
            <v>21400</v>
          </cell>
          <cell r="F351">
            <v>9.6999999999999993</v>
          </cell>
          <cell r="G351">
            <v>21340</v>
          </cell>
          <cell r="H351">
            <v>19250</v>
          </cell>
          <cell r="I351">
            <v>2090</v>
          </cell>
          <cell r="J351">
            <v>9.7860473835914981</v>
          </cell>
        </row>
        <row r="352">
          <cell r="B352" t="str">
            <v>MC5321263</v>
          </cell>
          <cell r="C352">
            <v>19560</v>
          </cell>
          <cell r="D352">
            <v>2100</v>
          </cell>
          <cell r="E352">
            <v>21660</v>
          </cell>
          <cell r="F352">
            <v>9.6999999999999993</v>
          </cell>
          <cell r="G352">
            <v>21440</v>
          </cell>
          <cell r="H352">
            <v>19350</v>
          </cell>
          <cell r="I352">
            <v>2090</v>
          </cell>
          <cell r="J352">
            <v>9.7486281032847799</v>
          </cell>
        </row>
        <row r="353">
          <cell r="B353" t="str">
            <v>MC5321264</v>
          </cell>
          <cell r="C353">
            <v>20330</v>
          </cell>
          <cell r="D353">
            <v>1800</v>
          </cell>
          <cell r="E353">
            <v>22130</v>
          </cell>
          <cell r="F353">
            <v>8.1</v>
          </cell>
          <cell r="G353">
            <v>21610</v>
          </cell>
          <cell r="H353">
            <v>19600</v>
          </cell>
          <cell r="I353">
            <v>2020</v>
          </cell>
          <cell r="J353">
            <v>9.3319144998612007</v>
          </cell>
        </row>
        <row r="354">
          <cell r="B354" t="str">
            <v>MC5321265</v>
          </cell>
          <cell r="C354">
            <v>19990</v>
          </cell>
          <cell r="D354">
            <v>1780</v>
          </cell>
          <cell r="E354">
            <v>21770</v>
          </cell>
          <cell r="F354">
            <v>8.1999999999999993</v>
          </cell>
          <cell r="G354">
            <v>21640</v>
          </cell>
          <cell r="H354">
            <v>19670</v>
          </cell>
          <cell r="I354">
            <v>1970</v>
          </cell>
          <cell r="J354">
            <v>9.0973775157552357</v>
          </cell>
        </row>
        <row r="355">
          <cell r="B355" t="str">
            <v>MC5321266</v>
          </cell>
          <cell r="C355">
            <v>20190</v>
          </cell>
          <cell r="D355">
            <v>1780</v>
          </cell>
          <cell r="E355">
            <v>21970</v>
          </cell>
          <cell r="F355">
            <v>8.1</v>
          </cell>
          <cell r="G355">
            <v>21700</v>
          </cell>
          <cell r="H355">
            <v>19760</v>
          </cell>
          <cell r="I355">
            <v>1940</v>
          </cell>
          <cell r="J355">
            <v>8.9282696532546755</v>
          </cell>
        </row>
        <row r="356">
          <cell r="B356" t="str">
            <v>MC5321267</v>
          </cell>
          <cell r="C356">
            <v>18560</v>
          </cell>
          <cell r="D356">
            <v>1740</v>
          </cell>
          <cell r="E356">
            <v>20300</v>
          </cell>
          <cell r="F356">
            <v>8.6</v>
          </cell>
          <cell r="G356">
            <v>21500</v>
          </cell>
          <cell r="H356">
            <v>19590</v>
          </cell>
          <cell r="I356">
            <v>1910</v>
          </cell>
          <cell r="J356">
            <v>8.8811658149873409</v>
          </cell>
        </row>
        <row r="357">
          <cell r="B357" t="str">
            <v>MC5321268</v>
          </cell>
          <cell r="C357" t="str">
            <v/>
          </cell>
          <cell r="D357" t="str">
            <v/>
          </cell>
          <cell r="E357" t="e">
            <v>#VALUE!</v>
          </cell>
          <cell r="F357" t="str">
            <v/>
          </cell>
          <cell r="G357" t="str">
            <v/>
          </cell>
          <cell r="H357" t="str">
            <v/>
          </cell>
          <cell r="I357" t="str">
            <v/>
          </cell>
          <cell r="J357" t="str">
            <v/>
          </cell>
        </row>
        <row r="358">
          <cell r="B358" t="str">
            <v>MC5321269</v>
          </cell>
          <cell r="C358" t="str">
            <v/>
          </cell>
          <cell r="D358" t="str">
            <v/>
          </cell>
          <cell r="E358" t="e">
            <v>#VALUE!</v>
          </cell>
          <cell r="F358" t="str">
            <v/>
          </cell>
          <cell r="G358" t="str">
            <v/>
          </cell>
          <cell r="H358" t="str">
            <v/>
          </cell>
          <cell r="I358" t="str">
            <v/>
          </cell>
          <cell r="J358" t="str">
            <v/>
          </cell>
        </row>
        <row r="359">
          <cell r="B359" t="str">
            <v>MC53212610</v>
          </cell>
          <cell r="C359" t="str">
            <v/>
          </cell>
          <cell r="D359" t="str">
            <v/>
          </cell>
          <cell r="E359" t="e">
            <v>#VALUE!</v>
          </cell>
          <cell r="F359" t="str">
            <v/>
          </cell>
          <cell r="G359" t="str">
            <v/>
          </cell>
          <cell r="H359" t="str">
            <v/>
          </cell>
          <cell r="I359" t="str">
            <v/>
          </cell>
          <cell r="J359" t="str">
            <v/>
          </cell>
        </row>
        <row r="360">
          <cell r="B360" t="str">
            <v>MC53212611</v>
          </cell>
          <cell r="C360" t="str">
            <v/>
          </cell>
          <cell r="D360" t="str">
            <v/>
          </cell>
          <cell r="E360" t="e">
            <v>#VALUE!</v>
          </cell>
          <cell r="F360" t="str">
            <v/>
          </cell>
          <cell r="G360" t="str">
            <v/>
          </cell>
          <cell r="H360" t="str">
            <v/>
          </cell>
          <cell r="I360" t="str">
            <v/>
          </cell>
          <cell r="J360" t="str">
            <v/>
          </cell>
        </row>
        <row r="361">
          <cell r="B361" t="str">
            <v>MC53212612</v>
          </cell>
          <cell r="C361" t="str">
            <v/>
          </cell>
          <cell r="D361" t="str">
            <v/>
          </cell>
          <cell r="E361" t="e">
            <v>#VALUE!</v>
          </cell>
          <cell r="F361" t="str">
            <v/>
          </cell>
          <cell r="G361" t="str">
            <v/>
          </cell>
          <cell r="H361" t="str">
            <v/>
          </cell>
          <cell r="I361" t="str">
            <v/>
          </cell>
          <cell r="J361" t="str">
            <v/>
          </cell>
        </row>
        <row r="362">
          <cell r="B362" t="str">
            <v>MC5316501</v>
          </cell>
          <cell r="C362">
            <v>26230</v>
          </cell>
          <cell r="D362">
            <v>4450</v>
          </cell>
          <cell r="E362">
            <v>30680</v>
          </cell>
          <cell r="F362">
            <v>14.5</v>
          </cell>
          <cell r="G362">
            <v>30680</v>
          </cell>
          <cell r="H362">
            <v>26230</v>
          </cell>
          <cell r="I362">
            <v>4450</v>
          </cell>
          <cell r="J362">
            <v>14.5</v>
          </cell>
        </row>
        <row r="363">
          <cell r="B363" t="str">
            <v>MC5316502</v>
          </cell>
          <cell r="C363">
            <v>26400</v>
          </cell>
          <cell r="D363">
            <v>4400</v>
          </cell>
          <cell r="E363">
            <v>30800</v>
          </cell>
          <cell r="F363">
            <v>14.3</v>
          </cell>
          <cell r="G363">
            <v>30740</v>
          </cell>
          <cell r="H363">
            <v>26320</v>
          </cell>
          <cell r="I363">
            <v>4430</v>
          </cell>
          <cell r="J363">
            <v>14.399102190849502</v>
          </cell>
        </row>
        <row r="364">
          <cell r="B364" t="str">
            <v>MC5316503</v>
          </cell>
          <cell r="C364">
            <v>26540</v>
          </cell>
          <cell r="D364">
            <v>4460</v>
          </cell>
          <cell r="E364">
            <v>31000</v>
          </cell>
          <cell r="F364">
            <v>14.4</v>
          </cell>
          <cell r="G364">
            <v>30830</v>
          </cell>
          <cell r="H364">
            <v>26390</v>
          </cell>
          <cell r="I364">
            <v>4440</v>
          </cell>
          <cell r="J364">
            <v>14.39955883307022</v>
          </cell>
        </row>
        <row r="365">
          <cell r="B365" t="str">
            <v>MC5316504</v>
          </cell>
          <cell r="C365">
            <v>26800</v>
          </cell>
          <cell r="D365">
            <v>4000</v>
          </cell>
          <cell r="E365">
            <v>30800</v>
          </cell>
          <cell r="F365">
            <v>13</v>
          </cell>
          <cell r="G365">
            <v>30820</v>
          </cell>
          <cell r="H365">
            <v>26490</v>
          </cell>
          <cell r="I365">
            <v>4330</v>
          </cell>
          <cell r="J365">
            <v>14.046315447945817</v>
          </cell>
        </row>
        <row r="366">
          <cell r="B366" t="str">
            <v>MC5316505</v>
          </cell>
          <cell r="C366">
            <v>26880</v>
          </cell>
          <cell r="D366">
            <v>3880</v>
          </cell>
          <cell r="E366">
            <v>30760</v>
          </cell>
          <cell r="F366">
            <v>12.6</v>
          </cell>
          <cell r="G366">
            <v>30810</v>
          </cell>
          <cell r="H366">
            <v>26570</v>
          </cell>
          <cell r="I366">
            <v>4240</v>
          </cell>
          <cell r="J366">
            <v>13.761116520610193</v>
          </cell>
        </row>
        <row r="367">
          <cell r="B367" t="str">
            <v>MC5316506</v>
          </cell>
          <cell r="C367">
            <v>26240</v>
          </cell>
          <cell r="D367">
            <v>3860</v>
          </cell>
          <cell r="E367">
            <v>30100</v>
          </cell>
          <cell r="F367">
            <v>12.8</v>
          </cell>
          <cell r="G367">
            <v>30690</v>
          </cell>
          <cell r="H367">
            <v>26510</v>
          </cell>
          <cell r="I367">
            <v>4180</v>
          </cell>
          <cell r="J367">
            <v>13.607137814560186</v>
          </cell>
        </row>
        <row r="368">
          <cell r="B368" t="str">
            <v>MC5316507</v>
          </cell>
          <cell r="C368">
            <v>25900</v>
          </cell>
          <cell r="D368">
            <v>3750</v>
          </cell>
          <cell r="E368">
            <v>29650</v>
          </cell>
          <cell r="F368">
            <v>12.7</v>
          </cell>
          <cell r="G368">
            <v>30540</v>
          </cell>
          <cell r="H368">
            <v>26430</v>
          </cell>
          <cell r="I368">
            <v>4120</v>
          </cell>
          <cell r="J368">
            <v>13.474716197443323</v>
          </cell>
        </row>
        <row r="369">
          <cell r="B369" t="str">
            <v>MC5316508</v>
          </cell>
          <cell r="C369" t="str">
            <v/>
          </cell>
          <cell r="D369" t="str">
            <v/>
          </cell>
          <cell r="E369" t="e">
            <v>#VALUE!</v>
          </cell>
          <cell r="F369" t="str">
            <v/>
          </cell>
          <cell r="G369" t="str">
            <v/>
          </cell>
          <cell r="H369" t="str">
            <v/>
          </cell>
          <cell r="I369" t="str">
            <v/>
          </cell>
          <cell r="J369" t="str">
            <v/>
          </cell>
        </row>
        <row r="370">
          <cell r="B370" t="str">
            <v>MC5316509</v>
          </cell>
          <cell r="C370" t="str">
            <v/>
          </cell>
          <cell r="D370" t="str">
            <v/>
          </cell>
          <cell r="E370" t="e">
            <v>#VALUE!</v>
          </cell>
          <cell r="F370" t="str">
            <v/>
          </cell>
          <cell r="G370" t="str">
            <v/>
          </cell>
          <cell r="H370" t="str">
            <v/>
          </cell>
          <cell r="I370" t="str">
            <v/>
          </cell>
          <cell r="J370" t="str">
            <v/>
          </cell>
        </row>
        <row r="371">
          <cell r="B371" t="str">
            <v>MC53165010</v>
          </cell>
          <cell r="C371" t="str">
            <v/>
          </cell>
          <cell r="D371" t="str">
            <v/>
          </cell>
          <cell r="E371" t="e">
            <v>#VALUE!</v>
          </cell>
          <cell r="F371" t="str">
            <v/>
          </cell>
          <cell r="G371" t="str">
            <v/>
          </cell>
          <cell r="H371" t="str">
            <v/>
          </cell>
          <cell r="I371" t="str">
            <v/>
          </cell>
          <cell r="J371" t="str">
            <v/>
          </cell>
        </row>
        <row r="372">
          <cell r="B372" t="str">
            <v>MC53165011</v>
          </cell>
          <cell r="C372" t="str">
            <v/>
          </cell>
          <cell r="D372" t="str">
            <v/>
          </cell>
          <cell r="E372" t="e">
            <v>#VALUE!</v>
          </cell>
          <cell r="F372" t="str">
            <v/>
          </cell>
          <cell r="G372" t="str">
            <v/>
          </cell>
          <cell r="H372" t="str">
            <v/>
          </cell>
          <cell r="I372" t="str">
            <v/>
          </cell>
          <cell r="J372" t="str">
            <v/>
          </cell>
        </row>
        <row r="373">
          <cell r="B373" t="str">
            <v>MC53165012</v>
          </cell>
          <cell r="C373" t="str">
            <v/>
          </cell>
          <cell r="D373" t="str">
            <v/>
          </cell>
          <cell r="E373" t="e">
            <v>#VALUE!</v>
          </cell>
          <cell r="F373" t="str">
            <v/>
          </cell>
          <cell r="G373" t="str">
            <v/>
          </cell>
          <cell r="H373" t="str">
            <v/>
          </cell>
          <cell r="I373" t="str">
            <v/>
          </cell>
          <cell r="J373" t="str">
            <v/>
          </cell>
        </row>
        <row r="374">
          <cell r="B374" t="str">
            <v>MC5310141</v>
          </cell>
          <cell r="C374">
            <v>25710</v>
          </cell>
          <cell r="D374">
            <v>4220</v>
          </cell>
          <cell r="E374">
            <v>29930</v>
          </cell>
          <cell r="F374">
            <v>14.1</v>
          </cell>
          <cell r="G374">
            <v>29930</v>
          </cell>
          <cell r="H374">
            <v>25710</v>
          </cell>
          <cell r="I374">
            <v>4220</v>
          </cell>
          <cell r="J374">
            <v>14.1</v>
          </cell>
        </row>
        <row r="375">
          <cell r="B375" t="str">
            <v>MC5310142</v>
          </cell>
          <cell r="C375">
            <v>25710</v>
          </cell>
          <cell r="D375">
            <v>4160</v>
          </cell>
          <cell r="E375">
            <v>29870</v>
          </cell>
          <cell r="F375">
            <v>13.9</v>
          </cell>
          <cell r="G375">
            <v>29900</v>
          </cell>
          <cell r="H375">
            <v>25710</v>
          </cell>
          <cell r="I375">
            <v>4190</v>
          </cell>
          <cell r="J375">
            <v>14.01598769148438</v>
          </cell>
        </row>
        <row r="376">
          <cell r="B376" t="str">
            <v>MC5310143</v>
          </cell>
          <cell r="C376">
            <v>25520</v>
          </cell>
          <cell r="D376">
            <v>4240</v>
          </cell>
          <cell r="E376">
            <v>29760</v>
          </cell>
          <cell r="F376">
            <v>14.2</v>
          </cell>
          <cell r="G376">
            <v>29850</v>
          </cell>
          <cell r="H376">
            <v>25650</v>
          </cell>
          <cell r="I376">
            <v>4210</v>
          </cell>
          <cell r="J376">
            <v>14.091269442490425</v>
          </cell>
        </row>
        <row r="377">
          <cell r="B377" t="str">
            <v>MC5310144</v>
          </cell>
          <cell r="C377">
            <v>25590</v>
          </cell>
          <cell r="D377">
            <v>3760</v>
          </cell>
          <cell r="E377">
            <v>29350</v>
          </cell>
          <cell r="F377">
            <v>12.8</v>
          </cell>
          <cell r="G377">
            <v>29730</v>
          </cell>
          <cell r="H377">
            <v>25630</v>
          </cell>
          <cell r="I377">
            <v>4090</v>
          </cell>
          <cell r="J377">
            <v>13.772570919152585</v>
          </cell>
        </row>
        <row r="378">
          <cell r="B378" t="str">
            <v>MC5310145</v>
          </cell>
          <cell r="C378">
            <v>25750</v>
          </cell>
          <cell r="D378">
            <v>3790</v>
          </cell>
          <cell r="E378">
            <v>29540</v>
          </cell>
          <cell r="F378">
            <v>12.8</v>
          </cell>
          <cell r="G378">
            <v>29690</v>
          </cell>
          <cell r="H378">
            <v>25650</v>
          </cell>
          <cell r="I378">
            <v>4030</v>
          </cell>
          <cell r="J378">
            <v>13.586052183051626</v>
          </cell>
        </row>
        <row r="379">
          <cell r="B379" t="str">
            <v>MC5310146</v>
          </cell>
          <cell r="C379">
            <v>26380</v>
          </cell>
          <cell r="D379">
            <v>3960</v>
          </cell>
          <cell r="E379">
            <v>30340</v>
          </cell>
          <cell r="F379">
            <v>13.1</v>
          </cell>
          <cell r="G379">
            <v>29800</v>
          </cell>
          <cell r="H379">
            <v>25770</v>
          </cell>
          <cell r="I379">
            <v>4020</v>
          </cell>
          <cell r="J379">
            <v>13.49711095822216</v>
          </cell>
        </row>
        <row r="380">
          <cell r="B380" t="str">
            <v>MC5310147</v>
          </cell>
          <cell r="C380">
            <v>26190</v>
          </cell>
          <cell r="D380">
            <v>3800</v>
          </cell>
          <cell r="E380">
            <v>29990</v>
          </cell>
          <cell r="F380">
            <v>12.7</v>
          </cell>
          <cell r="G380">
            <v>29820</v>
          </cell>
          <cell r="H380">
            <v>25830</v>
          </cell>
          <cell r="I380">
            <v>3990</v>
          </cell>
          <cell r="J380">
            <v>13.376891498972521</v>
          </cell>
        </row>
        <row r="381">
          <cell r="B381" t="str">
            <v>MC5310148</v>
          </cell>
          <cell r="C381" t="str">
            <v/>
          </cell>
          <cell r="D381" t="str">
            <v/>
          </cell>
          <cell r="E381" t="e">
            <v>#VALUE!</v>
          </cell>
          <cell r="F381" t="str">
            <v/>
          </cell>
          <cell r="G381" t="str">
            <v/>
          </cell>
          <cell r="H381" t="str">
            <v/>
          </cell>
          <cell r="I381" t="str">
            <v/>
          </cell>
          <cell r="J381" t="str">
            <v/>
          </cell>
        </row>
        <row r="382">
          <cell r="B382" t="str">
            <v>MC5310149</v>
          </cell>
          <cell r="C382" t="str">
            <v/>
          </cell>
          <cell r="D382" t="str">
            <v/>
          </cell>
          <cell r="E382" t="e">
            <v>#VALUE!</v>
          </cell>
          <cell r="F382" t="str">
            <v/>
          </cell>
          <cell r="G382" t="str">
            <v/>
          </cell>
          <cell r="H382" t="str">
            <v/>
          </cell>
          <cell r="I382" t="str">
            <v/>
          </cell>
          <cell r="J382" t="str">
            <v/>
          </cell>
        </row>
        <row r="383">
          <cell r="B383" t="str">
            <v>MC53101410</v>
          </cell>
          <cell r="C383" t="str">
            <v/>
          </cell>
          <cell r="D383" t="str">
            <v/>
          </cell>
          <cell r="E383" t="e">
            <v>#VALUE!</v>
          </cell>
          <cell r="F383" t="str">
            <v/>
          </cell>
          <cell r="G383" t="str">
            <v/>
          </cell>
          <cell r="H383" t="str">
            <v/>
          </cell>
          <cell r="I383" t="str">
            <v/>
          </cell>
          <cell r="J383" t="str">
            <v/>
          </cell>
        </row>
        <row r="384">
          <cell r="B384" t="str">
            <v>MC53101411</v>
          </cell>
          <cell r="C384" t="str">
            <v/>
          </cell>
          <cell r="D384" t="str">
            <v/>
          </cell>
          <cell r="E384" t="e">
            <v>#VALUE!</v>
          </cell>
          <cell r="F384" t="str">
            <v/>
          </cell>
          <cell r="G384" t="str">
            <v/>
          </cell>
          <cell r="H384" t="str">
            <v/>
          </cell>
          <cell r="I384" t="str">
            <v/>
          </cell>
          <cell r="J384" t="str">
            <v/>
          </cell>
        </row>
        <row r="385">
          <cell r="B385" t="str">
            <v>MC53101412</v>
          </cell>
          <cell r="C385" t="str">
            <v/>
          </cell>
          <cell r="D385" t="str">
            <v/>
          </cell>
          <cell r="E385" t="e">
            <v>#VALUE!</v>
          </cell>
          <cell r="F385" t="str">
            <v/>
          </cell>
          <cell r="G385" t="str">
            <v/>
          </cell>
          <cell r="H385" t="str">
            <v/>
          </cell>
          <cell r="I385" t="str">
            <v/>
          </cell>
          <cell r="J385" t="str">
            <v/>
          </cell>
        </row>
        <row r="386">
          <cell r="B386" t="str">
            <v>IM5338901</v>
          </cell>
          <cell r="C386">
            <v>194120</v>
          </cell>
          <cell r="D386">
            <v>29740</v>
          </cell>
          <cell r="E386">
            <v>223860</v>
          </cell>
          <cell r="F386">
            <v>13.3</v>
          </cell>
          <cell r="G386">
            <v>223860</v>
          </cell>
          <cell r="H386">
            <v>194120</v>
          </cell>
          <cell r="I386">
            <v>29740</v>
          </cell>
          <cell r="J386">
            <v>13.3</v>
          </cell>
        </row>
        <row r="387">
          <cell r="B387" t="str">
            <v>IM5338902</v>
          </cell>
          <cell r="C387">
            <v>194830</v>
          </cell>
          <cell r="D387">
            <v>28970</v>
          </cell>
          <cell r="E387">
            <v>223800</v>
          </cell>
          <cell r="F387">
            <v>12.9</v>
          </cell>
          <cell r="G387">
            <v>223830</v>
          </cell>
          <cell r="H387">
            <v>194480</v>
          </cell>
          <cell r="I387">
            <v>29360</v>
          </cell>
          <cell r="J387">
            <v>11.971883911899818</v>
          </cell>
        </row>
        <row r="388">
          <cell r="B388" t="str">
            <v>IM5338903</v>
          </cell>
          <cell r="C388">
            <v>194290</v>
          </cell>
          <cell r="D388">
            <v>29100</v>
          </cell>
          <cell r="E388">
            <v>223390</v>
          </cell>
          <cell r="F388">
            <v>13</v>
          </cell>
          <cell r="G388">
            <v>223690</v>
          </cell>
          <cell r="H388">
            <v>194420</v>
          </cell>
          <cell r="I388">
            <v>29270</v>
          </cell>
          <cell r="J388">
            <v>11.766171887352176</v>
          </cell>
        </row>
        <row r="389">
          <cell r="B389" t="str">
            <v>IM5338904</v>
          </cell>
          <cell r="C389">
            <v>194290</v>
          </cell>
          <cell r="D389">
            <v>28460</v>
          </cell>
          <cell r="E389">
            <v>222750</v>
          </cell>
          <cell r="F389">
            <v>12.8</v>
          </cell>
          <cell r="G389">
            <v>223450</v>
          </cell>
          <cell r="H389">
            <v>194380</v>
          </cell>
          <cell r="I389">
            <v>29070</v>
          </cell>
          <cell r="J389">
            <v>11.451295089406708</v>
          </cell>
        </row>
        <row r="390">
          <cell r="B390" t="str">
            <v>IM5338905</v>
          </cell>
          <cell r="C390">
            <v>194780</v>
          </cell>
          <cell r="D390">
            <v>28390</v>
          </cell>
          <cell r="E390">
            <v>223170</v>
          </cell>
          <cell r="F390">
            <v>12.7</v>
          </cell>
          <cell r="G390">
            <v>223400</v>
          </cell>
          <cell r="H390">
            <v>194460</v>
          </cell>
          <cell r="I390">
            <v>28930</v>
          </cell>
          <cell r="J390">
            <v>11.058892555081275</v>
          </cell>
        </row>
        <row r="391">
          <cell r="B391" t="str">
            <v>IM5338906</v>
          </cell>
          <cell r="C391">
            <v>191880</v>
          </cell>
          <cell r="D391">
            <v>27000</v>
          </cell>
          <cell r="E391">
            <v>218880</v>
          </cell>
          <cell r="F391">
            <v>12.3</v>
          </cell>
          <cell r="G391">
            <v>222650</v>
          </cell>
          <cell r="H391">
            <v>194030</v>
          </cell>
          <cell r="I391">
            <v>28610</v>
          </cell>
          <cell r="J391">
            <v>10.425006801663491</v>
          </cell>
        </row>
        <row r="392">
          <cell r="B392" t="str">
            <v>IM5338907</v>
          </cell>
          <cell r="C392">
            <v>187810</v>
          </cell>
          <cell r="D392">
            <v>21180</v>
          </cell>
          <cell r="E392">
            <v>208990</v>
          </cell>
          <cell r="F392">
            <v>10.1</v>
          </cell>
          <cell r="G392">
            <v>220690</v>
          </cell>
          <cell r="H392">
            <v>193140</v>
          </cell>
          <cell r="I392">
            <v>27550</v>
          </cell>
          <cell r="J392">
            <v>9.1157209884503079</v>
          </cell>
        </row>
        <row r="393">
          <cell r="B393" t="str">
            <v>IM5338908</v>
          </cell>
          <cell r="C393" t="str">
            <v/>
          </cell>
          <cell r="D393" t="str">
            <v/>
          </cell>
          <cell r="E393" t="e">
            <v>#VALUE!</v>
          </cell>
          <cell r="F393" t="str">
            <v/>
          </cell>
          <cell r="G393" t="str">
            <v/>
          </cell>
          <cell r="H393" t="str">
            <v/>
          </cell>
          <cell r="I393" t="str">
            <v/>
          </cell>
          <cell r="J393" t="str">
            <v/>
          </cell>
        </row>
        <row r="394">
          <cell r="B394" t="str">
            <v>IM5338909</v>
          </cell>
          <cell r="C394" t="str">
            <v/>
          </cell>
          <cell r="D394" t="str">
            <v/>
          </cell>
          <cell r="E394" t="e">
            <v>#VALUE!</v>
          </cell>
          <cell r="F394" t="str">
            <v/>
          </cell>
          <cell r="G394" t="str">
            <v/>
          </cell>
          <cell r="H394" t="str">
            <v/>
          </cell>
          <cell r="I394" t="str">
            <v/>
          </cell>
          <cell r="J394" t="str">
            <v/>
          </cell>
        </row>
        <row r="395">
          <cell r="B395" t="str">
            <v>IM53389010</v>
          </cell>
          <cell r="C395" t="str">
            <v/>
          </cell>
          <cell r="D395" t="str">
            <v/>
          </cell>
          <cell r="E395" t="e">
            <v>#VALUE!</v>
          </cell>
          <cell r="F395" t="str">
            <v/>
          </cell>
          <cell r="G395" t="str">
            <v/>
          </cell>
          <cell r="H395" t="str">
            <v/>
          </cell>
          <cell r="I395" t="str">
            <v/>
          </cell>
          <cell r="J395" t="str">
            <v/>
          </cell>
        </row>
        <row r="396">
          <cell r="B396" t="str">
            <v>IM53389011</v>
          </cell>
          <cell r="C396" t="str">
            <v/>
          </cell>
          <cell r="D396" t="str">
            <v/>
          </cell>
          <cell r="E396" t="e">
            <v>#VALUE!</v>
          </cell>
          <cell r="F396" t="str">
            <v/>
          </cell>
          <cell r="G396" t="str">
            <v/>
          </cell>
          <cell r="H396" t="str">
            <v/>
          </cell>
          <cell r="I396" t="str">
            <v/>
          </cell>
          <cell r="J396" t="str">
            <v/>
          </cell>
        </row>
        <row r="397">
          <cell r="B397" t="str">
            <v>IM53389012</v>
          </cell>
          <cell r="C397" t="str">
            <v/>
          </cell>
          <cell r="D397" t="str">
            <v/>
          </cell>
          <cell r="E397" t="e">
            <v>#VALUE!</v>
          </cell>
          <cell r="F397" t="str">
            <v/>
          </cell>
          <cell r="G397" t="str">
            <v/>
          </cell>
          <cell r="H397" t="str">
            <v/>
          </cell>
          <cell r="I397" t="str">
            <v/>
          </cell>
          <cell r="J397" t="str">
            <v/>
          </cell>
        </row>
        <row r="398">
          <cell r="B398" t="str">
            <v>DV5345101</v>
          </cell>
          <cell r="C398">
            <v>355520</v>
          </cell>
          <cell r="D398">
            <v>39930</v>
          </cell>
          <cell r="E398">
            <v>395450</v>
          </cell>
          <cell r="F398">
            <v>10.1</v>
          </cell>
          <cell r="G398">
            <v>395450</v>
          </cell>
          <cell r="H398">
            <v>355520</v>
          </cell>
          <cell r="I398">
            <v>39930</v>
          </cell>
          <cell r="J398">
            <v>10.1</v>
          </cell>
        </row>
        <row r="399">
          <cell r="B399" t="str">
            <v>DV5345102</v>
          </cell>
          <cell r="C399">
            <v>353060</v>
          </cell>
          <cell r="D399">
            <v>40610</v>
          </cell>
          <cell r="E399">
            <v>393670</v>
          </cell>
          <cell r="F399">
            <v>10.3</v>
          </cell>
          <cell r="G399">
            <v>394560</v>
          </cell>
          <cell r="H399">
            <v>354290</v>
          </cell>
          <cell r="I399">
            <v>40270</v>
          </cell>
          <cell r="J399">
            <v>10.206153167697771</v>
          </cell>
        </row>
        <row r="400">
          <cell r="B400" t="str">
            <v>DV5345103</v>
          </cell>
          <cell r="C400">
            <v>353590</v>
          </cell>
          <cell r="D400">
            <v>41080</v>
          </cell>
          <cell r="E400">
            <v>394670</v>
          </cell>
          <cell r="F400">
            <v>10.4</v>
          </cell>
          <cell r="G400">
            <v>394600</v>
          </cell>
          <cell r="H400">
            <v>354060</v>
          </cell>
          <cell r="I400">
            <v>40540</v>
          </cell>
          <cell r="J400">
            <v>10.273697192914282</v>
          </cell>
        </row>
        <row r="401">
          <cell r="B401" t="str">
            <v>DV5345104</v>
          </cell>
          <cell r="C401">
            <v>352960</v>
          </cell>
          <cell r="D401">
            <v>37410</v>
          </cell>
          <cell r="E401">
            <v>390370</v>
          </cell>
          <cell r="F401">
            <v>9.6</v>
          </cell>
          <cell r="G401">
            <v>393540</v>
          </cell>
          <cell r="H401">
            <v>353780</v>
          </cell>
          <cell r="I401">
            <v>39760</v>
          </cell>
          <cell r="J401">
            <v>10.102378801565793</v>
          </cell>
        </row>
        <row r="402">
          <cell r="B402" t="str">
            <v>DV5345105</v>
          </cell>
          <cell r="C402">
            <v>356610</v>
          </cell>
          <cell r="D402">
            <v>37630</v>
          </cell>
          <cell r="E402">
            <v>394240</v>
          </cell>
          <cell r="F402">
            <v>9.5</v>
          </cell>
          <cell r="G402">
            <v>393680</v>
          </cell>
          <cell r="H402">
            <v>354350</v>
          </cell>
          <cell r="I402">
            <v>39330</v>
          </cell>
          <cell r="J402">
            <v>9.9906014560122749</v>
          </cell>
        </row>
        <row r="403">
          <cell r="B403" t="str">
            <v>DV5345106</v>
          </cell>
          <cell r="C403">
            <v>349550</v>
          </cell>
          <cell r="D403">
            <v>37760</v>
          </cell>
          <cell r="E403">
            <v>387310</v>
          </cell>
          <cell r="F403">
            <v>9.6999999999999993</v>
          </cell>
          <cell r="G403">
            <v>392620</v>
          </cell>
          <cell r="H403">
            <v>353550</v>
          </cell>
          <cell r="I403">
            <v>39070</v>
          </cell>
          <cell r="J403">
            <v>9.950965763481868</v>
          </cell>
        </row>
        <row r="404">
          <cell r="B404" t="str">
            <v>DV5345107</v>
          </cell>
          <cell r="C404">
            <v>344200</v>
          </cell>
          <cell r="D404">
            <v>36710</v>
          </cell>
          <cell r="E404">
            <v>380910</v>
          </cell>
          <cell r="F404">
            <v>9.6</v>
          </cell>
          <cell r="G404">
            <v>390950</v>
          </cell>
          <cell r="H404">
            <v>352210</v>
          </cell>
          <cell r="I404">
            <v>38730</v>
          </cell>
          <cell r="J404">
            <v>9.9074112645608565</v>
          </cell>
        </row>
        <row r="405">
          <cell r="B405" t="str">
            <v>DV5345108</v>
          </cell>
          <cell r="C405" t="str">
            <v/>
          </cell>
          <cell r="D405" t="str">
            <v/>
          </cell>
          <cell r="E405" t="e">
            <v>#VALUE!</v>
          </cell>
          <cell r="F405" t="str">
            <v/>
          </cell>
          <cell r="G405" t="str">
            <v/>
          </cell>
          <cell r="H405" t="str">
            <v/>
          </cell>
          <cell r="I405" t="str">
            <v/>
          </cell>
          <cell r="J405" t="str">
            <v/>
          </cell>
        </row>
        <row r="406">
          <cell r="B406" t="str">
            <v>DV5345109</v>
          </cell>
          <cell r="C406" t="str">
            <v/>
          </cell>
          <cell r="D406" t="str">
            <v/>
          </cell>
          <cell r="E406" t="e">
            <v>#VALUE!</v>
          </cell>
          <cell r="F406" t="str">
            <v/>
          </cell>
          <cell r="G406" t="str">
            <v/>
          </cell>
          <cell r="H406" t="str">
            <v/>
          </cell>
          <cell r="I406" t="str">
            <v/>
          </cell>
          <cell r="J406" t="str">
            <v/>
          </cell>
        </row>
        <row r="407">
          <cell r="B407" t="str">
            <v>DV53451010</v>
          </cell>
          <cell r="C407" t="str">
            <v/>
          </cell>
          <cell r="D407" t="str">
            <v/>
          </cell>
          <cell r="E407" t="e">
            <v>#VALUE!</v>
          </cell>
          <cell r="F407" t="str">
            <v/>
          </cell>
          <cell r="G407" t="str">
            <v/>
          </cell>
          <cell r="H407" t="str">
            <v/>
          </cell>
          <cell r="I407" t="str">
            <v/>
          </cell>
          <cell r="J407" t="str">
            <v/>
          </cell>
        </row>
        <row r="408">
          <cell r="B408" t="str">
            <v>DV53451011</v>
          </cell>
          <cell r="C408" t="str">
            <v/>
          </cell>
          <cell r="D408" t="str">
            <v/>
          </cell>
          <cell r="E408" t="e">
            <v>#VALUE!</v>
          </cell>
          <cell r="F408" t="str">
            <v/>
          </cell>
          <cell r="G408" t="str">
            <v/>
          </cell>
          <cell r="H408" t="str">
            <v/>
          </cell>
          <cell r="I408" t="str">
            <v/>
          </cell>
          <cell r="J408" t="str">
            <v/>
          </cell>
        </row>
        <row r="409">
          <cell r="B409" t="str">
            <v>DV53451012</v>
          </cell>
          <cell r="C409" t="str">
            <v/>
          </cell>
          <cell r="D409" t="str">
            <v/>
          </cell>
          <cell r="E409" t="e">
            <v>#VALUE!</v>
          </cell>
          <cell r="F409" t="str">
            <v/>
          </cell>
          <cell r="G409" t="str">
            <v/>
          </cell>
          <cell r="H409" t="str">
            <v/>
          </cell>
          <cell r="I409" t="str">
            <v/>
          </cell>
          <cell r="J409" t="str">
            <v/>
          </cell>
        </row>
        <row r="410">
          <cell r="B410" t="str">
            <v>DV5342641</v>
          </cell>
          <cell r="C410">
            <v>1349930</v>
          </cell>
          <cell r="D410">
            <v>132630</v>
          </cell>
          <cell r="E410">
            <v>1482560</v>
          </cell>
          <cell r="F410">
            <v>8.9</v>
          </cell>
          <cell r="G410">
            <v>1482560</v>
          </cell>
          <cell r="H410">
            <v>1349930</v>
          </cell>
          <cell r="I410">
            <v>132630</v>
          </cell>
          <cell r="J410">
            <v>8.9</v>
          </cell>
        </row>
        <row r="411">
          <cell r="B411" t="str">
            <v>DV5342642</v>
          </cell>
          <cell r="C411">
            <v>1357480</v>
          </cell>
          <cell r="D411">
            <v>136050</v>
          </cell>
          <cell r="E411">
            <v>1493530</v>
          </cell>
          <cell r="F411">
            <v>9.1</v>
          </cell>
          <cell r="G411">
            <v>1488040</v>
          </cell>
          <cell r="H411">
            <v>1353700</v>
          </cell>
          <cell r="I411">
            <v>134340</v>
          </cell>
          <cell r="J411">
            <v>9.0280596541500113</v>
          </cell>
        </row>
        <row r="412">
          <cell r="B412" t="str">
            <v>DV5342643</v>
          </cell>
          <cell r="C412">
            <v>1352500</v>
          </cell>
          <cell r="D412">
            <v>132720</v>
          </cell>
          <cell r="E412">
            <v>1485220</v>
          </cell>
          <cell r="F412">
            <v>8.9</v>
          </cell>
          <cell r="G412">
            <v>1487100</v>
          </cell>
          <cell r="H412">
            <v>1353300</v>
          </cell>
          <cell r="I412">
            <v>133800</v>
          </cell>
          <cell r="J412">
            <v>8.9973225323083721</v>
          </cell>
        </row>
        <row r="413">
          <cell r="B413" t="str">
            <v>DV5342644</v>
          </cell>
          <cell r="C413">
            <v>1339000</v>
          </cell>
          <cell r="D413">
            <v>122440</v>
          </cell>
          <cell r="E413">
            <v>1461440</v>
          </cell>
          <cell r="F413">
            <v>8.4</v>
          </cell>
          <cell r="G413">
            <v>1480690</v>
          </cell>
          <cell r="H413">
            <v>1349730</v>
          </cell>
          <cell r="I413">
            <v>130960</v>
          </cell>
          <cell r="J413">
            <v>8.8445709021752048</v>
          </cell>
        </row>
        <row r="414">
          <cell r="B414" t="str">
            <v>DV5342645</v>
          </cell>
          <cell r="C414">
            <v>1346820</v>
          </cell>
          <cell r="D414">
            <v>121910</v>
          </cell>
          <cell r="E414">
            <v>1468730</v>
          </cell>
          <cell r="F414">
            <v>8.3000000000000007</v>
          </cell>
          <cell r="G414">
            <v>1478300</v>
          </cell>
          <cell r="H414">
            <v>1349150</v>
          </cell>
          <cell r="I414">
            <v>129150</v>
          </cell>
          <cell r="J414">
            <v>8.7364817476535173</v>
          </cell>
        </row>
        <row r="415">
          <cell r="B415" t="str">
            <v>DV5342646</v>
          </cell>
          <cell r="C415">
            <v>1345800</v>
          </cell>
          <cell r="D415">
            <v>135790</v>
          </cell>
          <cell r="E415">
            <v>1481590</v>
          </cell>
          <cell r="F415">
            <v>9.1999999999999993</v>
          </cell>
          <cell r="G415">
            <v>1478850</v>
          </cell>
          <cell r="H415">
            <v>1348590</v>
          </cell>
          <cell r="I415">
            <v>130260</v>
          </cell>
          <cell r="J415">
            <v>8.8080987399645938</v>
          </cell>
        </row>
        <row r="416">
          <cell r="B416" t="str">
            <v>DV5342647</v>
          </cell>
          <cell r="C416">
            <v>1344750</v>
          </cell>
          <cell r="D416">
            <v>132900</v>
          </cell>
          <cell r="E416">
            <v>1477650</v>
          </cell>
          <cell r="F416">
            <v>9</v>
          </cell>
          <cell r="G416">
            <v>1478680</v>
          </cell>
          <cell r="H416">
            <v>1348040</v>
          </cell>
          <cell r="I416">
            <v>130640</v>
          </cell>
          <cell r="J416">
            <v>8.8346664430432771</v>
          </cell>
        </row>
        <row r="417">
          <cell r="B417" t="str">
            <v>DV5342648</v>
          </cell>
          <cell r="C417" t="str">
            <v/>
          </cell>
          <cell r="D417" t="str">
            <v/>
          </cell>
          <cell r="E417" t="e">
            <v>#VALUE!</v>
          </cell>
          <cell r="F417" t="str">
            <v/>
          </cell>
          <cell r="G417" t="str">
            <v/>
          </cell>
          <cell r="H417" t="str">
            <v/>
          </cell>
          <cell r="I417" t="str">
            <v/>
          </cell>
          <cell r="J417" t="str">
            <v/>
          </cell>
        </row>
        <row r="418">
          <cell r="B418" t="str">
            <v>DV5342649</v>
          </cell>
          <cell r="C418" t="str">
            <v/>
          </cell>
          <cell r="D418" t="str">
            <v/>
          </cell>
          <cell r="E418" t="e">
            <v>#VALUE!</v>
          </cell>
          <cell r="F418" t="str">
            <v/>
          </cell>
          <cell r="G418" t="str">
            <v/>
          </cell>
          <cell r="H418" t="str">
            <v/>
          </cell>
          <cell r="I418" t="str">
            <v/>
          </cell>
          <cell r="J418" t="str">
            <v/>
          </cell>
        </row>
        <row r="419">
          <cell r="B419" t="str">
            <v>DV53426410</v>
          </cell>
          <cell r="C419" t="str">
            <v/>
          </cell>
          <cell r="D419" t="str">
            <v/>
          </cell>
          <cell r="E419" t="e">
            <v>#VALUE!</v>
          </cell>
          <cell r="F419" t="str">
            <v/>
          </cell>
          <cell r="G419" t="str">
            <v/>
          </cell>
          <cell r="H419" t="str">
            <v/>
          </cell>
          <cell r="I419" t="str">
            <v/>
          </cell>
          <cell r="J419" t="str">
            <v/>
          </cell>
        </row>
        <row r="420">
          <cell r="B420" t="str">
            <v>DV53426411</v>
          </cell>
          <cell r="C420" t="str">
            <v/>
          </cell>
          <cell r="D420" t="str">
            <v/>
          </cell>
          <cell r="E420" t="e">
            <v>#VALUE!</v>
          </cell>
          <cell r="F420" t="str">
            <v/>
          </cell>
          <cell r="G420" t="str">
            <v/>
          </cell>
          <cell r="H420" t="str">
            <v/>
          </cell>
          <cell r="I420" t="str">
            <v/>
          </cell>
          <cell r="J420" t="str">
            <v/>
          </cell>
        </row>
        <row r="421">
          <cell r="B421" t="str">
            <v>DV53426412</v>
          </cell>
          <cell r="C421" t="str">
            <v/>
          </cell>
          <cell r="D421" t="str">
            <v/>
          </cell>
          <cell r="E421" t="e">
            <v>#VALUE!</v>
          </cell>
          <cell r="F421" t="str">
            <v/>
          </cell>
          <cell r="G421" t="str">
            <v/>
          </cell>
          <cell r="H421" t="str">
            <v/>
          </cell>
          <cell r="I421" t="str">
            <v/>
          </cell>
          <cell r="J421" t="str">
            <v/>
          </cell>
        </row>
        <row r="422">
          <cell r="B422" t="str">
            <v>CT5320001</v>
          </cell>
          <cell r="C422">
            <v>14270</v>
          </cell>
          <cell r="D422">
            <v>1520</v>
          </cell>
          <cell r="E422">
            <v>15790</v>
          </cell>
          <cell r="F422">
            <v>9.6</v>
          </cell>
          <cell r="G422">
            <v>15780</v>
          </cell>
          <cell r="H422">
            <v>14270</v>
          </cell>
          <cell r="I422">
            <v>1520</v>
          </cell>
          <cell r="J422">
            <v>9.6</v>
          </cell>
        </row>
        <row r="423">
          <cell r="B423" t="str">
            <v>CT5320002</v>
          </cell>
          <cell r="C423">
            <v>14410</v>
          </cell>
          <cell r="D423">
            <v>1440</v>
          </cell>
          <cell r="E423">
            <v>15850</v>
          </cell>
          <cell r="F423">
            <v>9.1</v>
          </cell>
          <cell r="G423">
            <v>15820</v>
          </cell>
          <cell r="H423">
            <v>14340</v>
          </cell>
          <cell r="I423">
            <v>1480</v>
          </cell>
          <cell r="J423">
            <v>9.343490217150805</v>
          </cell>
        </row>
        <row r="424">
          <cell r="B424" t="str">
            <v>CT5320003</v>
          </cell>
          <cell r="C424">
            <v>14600</v>
          </cell>
          <cell r="D424">
            <v>1460</v>
          </cell>
          <cell r="E424">
            <v>16060</v>
          </cell>
          <cell r="F424">
            <v>9.1</v>
          </cell>
          <cell r="G424">
            <v>15900</v>
          </cell>
          <cell r="H424">
            <v>14430</v>
          </cell>
          <cell r="I424">
            <v>1470</v>
          </cell>
          <cell r="J424">
            <v>9.2559592444286043</v>
          </cell>
        </row>
        <row r="425">
          <cell r="B425" t="str">
            <v>CT5320004</v>
          </cell>
          <cell r="C425">
            <v>14320</v>
          </cell>
          <cell r="D425">
            <v>1430</v>
          </cell>
          <cell r="E425">
            <v>15750</v>
          </cell>
          <cell r="F425">
            <v>9.1</v>
          </cell>
          <cell r="G425">
            <v>15860</v>
          </cell>
          <cell r="H425">
            <v>14400</v>
          </cell>
          <cell r="I425">
            <v>1460</v>
          </cell>
          <cell r="J425">
            <v>9.2084108319409861</v>
          </cell>
        </row>
        <row r="426">
          <cell r="B426" t="str">
            <v>CT5320005</v>
          </cell>
          <cell r="C426">
            <v>14520</v>
          </cell>
          <cell r="D426">
            <v>1490</v>
          </cell>
          <cell r="E426">
            <v>16010</v>
          </cell>
          <cell r="F426">
            <v>9.3000000000000007</v>
          </cell>
          <cell r="G426">
            <v>15890</v>
          </cell>
          <cell r="H426">
            <v>14420</v>
          </cell>
          <cell r="I426">
            <v>1470</v>
          </cell>
          <cell r="J426">
            <v>9.2256960177213916</v>
          </cell>
        </row>
        <row r="427">
          <cell r="B427" t="str">
            <v>CT5320006</v>
          </cell>
          <cell r="C427">
            <v>16600</v>
          </cell>
          <cell r="D427">
            <v>1540</v>
          </cell>
          <cell r="E427">
            <v>18140</v>
          </cell>
          <cell r="F427">
            <v>8.5</v>
          </cell>
          <cell r="G427">
            <v>16260</v>
          </cell>
          <cell r="H427">
            <v>14790</v>
          </cell>
          <cell r="I427">
            <v>1480</v>
          </cell>
          <cell r="J427">
            <v>9.084201789172738</v>
          </cell>
        </row>
        <row r="428">
          <cell r="B428" t="str">
            <v>CT5320007</v>
          </cell>
          <cell r="C428">
            <v>18440</v>
          </cell>
          <cell r="D428">
            <v>1320</v>
          </cell>
          <cell r="E428">
            <v>19760</v>
          </cell>
          <cell r="F428">
            <v>6.7</v>
          </cell>
          <cell r="G428">
            <v>16760</v>
          </cell>
          <cell r="H428">
            <v>15310</v>
          </cell>
          <cell r="I428">
            <v>1450</v>
          </cell>
          <cell r="J428">
            <v>8.6783127396676605</v>
          </cell>
        </row>
        <row r="429">
          <cell r="B429" t="str">
            <v>CT5320008</v>
          </cell>
          <cell r="C429" t="str">
            <v/>
          </cell>
          <cell r="D429" t="str">
            <v/>
          </cell>
          <cell r="E429" t="e">
            <v>#VALUE!</v>
          </cell>
          <cell r="F429" t="str">
            <v/>
          </cell>
          <cell r="G429" t="str">
            <v/>
          </cell>
          <cell r="H429" t="str">
            <v/>
          </cell>
          <cell r="I429" t="str">
            <v/>
          </cell>
          <cell r="J429" t="str">
            <v/>
          </cell>
        </row>
        <row r="430">
          <cell r="B430" t="str">
            <v>CT5320009</v>
          </cell>
          <cell r="C430" t="str">
            <v/>
          </cell>
          <cell r="D430" t="str">
            <v/>
          </cell>
          <cell r="E430" t="e">
            <v>#VALUE!</v>
          </cell>
          <cell r="F430" t="str">
            <v/>
          </cell>
          <cell r="G430" t="str">
            <v/>
          </cell>
          <cell r="H430" t="str">
            <v/>
          </cell>
          <cell r="I430" t="str">
            <v/>
          </cell>
          <cell r="J430" t="str">
            <v/>
          </cell>
        </row>
        <row r="431">
          <cell r="B431" t="str">
            <v>CT53200010</v>
          </cell>
          <cell r="C431" t="str">
            <v/>
          </cell>
          <cell r="D431" t="str">
            <v/>
          </cell>
          <cell r="E431" t="e">
            <v>#VALUE!</v>
          </cell>
          <cell r="F431" t="str">
            <v/>
          </cell>
          <cell r="G431" t="str">
            <v/>
          </cell>
          <cell r="H431" t="str">
            <v/>
          </cell>
          <cell r="I431" t="str">
            <v/>
          </cell>
          <cell r="J431" t="str">
            <v/>
          </cell>
        </row>
        <row r="432">
          <cell r="B432" t="str">
            <v>CT53200011</v>
          </cell>
          <cell r="C432" t="str">
            <v/>
          </cell>
          <cell r="D432" t="str">
            <v/>
          </cell>
          <cell r="E432" t="e">
            <v>#VALUE!</v>
          </cell>
          <cell r="F432" t="str">
            <v/>
          </cell>
          <cell r="G432" t="str">
            <v/>
          </cell>
          <cell r="H432" t="str">
            <v/>
          </cell>
          <cell r="I432" t="str">
            <v/>
          </cell>
          <cell r="J432" t="str">
            <v/>
          </cell>
        </row>
        <row r="433">
          <cell r="B433" t="str">
            <v>CT53200012</v>
          </cell>
          <cell r="C433" t="str">
            <v/>
          </cell>
          <cell r="D433" t="str">
            <v/>
          </cell>
          <cell r="E433" t="e">
            <v>#VALUE!</v>
          </cell>
          <cell r="F433" t="str">
            <v/>
          </cell>
          <cell r="G433" t="str">
            <v/>
          </cell>
          <cell r="H433" t="str">
            <v/>
          </cell>
          <cell r="I433" t="str">
            <v/>
          </cell>
          <cell r="J433" t="str">
            <v/>
          </cell>
        </row>
        <row r="434">
          <cell r="B434" t="str">
            <v>CT5313001</v>
          </cell>
          <cell r="C434">
            <v>13070</v>
          </cell>
          <cell r="D434">
            <v>1510</v>
          </cell>
          <cell r="E434">
            <v>14580</v>
          </cell>
          <cell r="F434">
            <v>10.3</v>
          </cell>
          <cell r="G434">
            <v>14570</v>
          </cell>
          <cell r="H434">
            <v>13070</v>
          </cell>
          <cell r="I434">
            <v>1510</v>
          </cell>
          <cell r="J434">
            <v>10.3</v>
          </cell>
        </row>
        <row r="435">
          <cell r="B435" t="str">
            <v>CT5313002</v>
          </cell>
          <cell r="C435">
            <v>13140</v>
          </cell>
          <cell r="D435">
            <v>1510</v>
          </cell>
          <cell r="E435">
            <v>14650</v>
          </cell>
          <cell r="F435">
            <v>10.3</v>
          </cell>
          <cell r="G435">
            <v>14610</v>
          </cell>
          <cell r="H435">
            <v>13100</v>
          </cell>
          <cell r="I435">
            <v>1510</v>
          </cell>
          <cell r="J435">
            <v>10.317568954896995</v>
          </cell>
        </row>
        <row r="436">
          <cell r="B436" t="str">
            <v>CT5313003</v>
          </cell>
          <cell r="C436">
            <v>13090</v>
          </cell>
          <cell r="D436">
            <v>1540</v>
          </cell>
          <cell r="E436">
            <v>14630</v>
          </cell>
          <cell r="F436">
            <v>10.5</v>
          </cell>
          <cell r="G436">
            <v>14620</v>
          </cell>
          <cell r="H436">
            <v>13100</v>
          </cell>
          <cell r="I436">
            <v>1520</v>
          </cell>
          <cell r="J436">
            <v>10.394910848647909</v>
          </cell>
        </row>
        <row r="437">
          <cell r="B437" t="str">
            <v>CT5313004</v>
          </cell>
          <cell r="C437">
            <v>12960</v>
          </cell>
          <cell r="D437">
            <v>1460</v>
          </cell>
          <cell r="E437">
            <v>14420</v>
          </cell>
          <cell r="F437">
            <v>10.1</v>
          </cell>
          <cell r="G437">
            <v>14570</v>
          </cell>
          <cell r="H437">
            <v>13070</v>
          </cell>
          <cell r="I437">
            <v>1500</v>
          </cell>
          <cell r="J437">
            <v>10.323289175646922</v>
          </cell>
        </row>
        <row r="438">
          <cell r="B438" t="str">
            <v>CT5313005</v>
          </cell>
          <cell r="C438">
            <v>13040</v>
          </cell>
          <cell r="D438">
            <v>1460</v>
          </cell>
          <cell r="E438">
            <v>14500</v>
          </cell>
          <cell r="F438">
            <v>10.1</v>
          </cell>
          <cell r="G438">
            <v>14550</v>
          </cell>
          <cell r="H438">
            <v>13060</v>
          </cell>
          <cell r="I438">
            <v>1490</v>
          </cell>
          <cell r="J438">
            <v>10.269341761714992</v>
          </cell>
        </row>
        <row r="439">
          <cell r="B439" t="str">
            <v>CT5313006</v>
          </cell>
          <cell r="C439">
            <v>13030</v>
          </cell>
          <cell r="D439">
            <v>1570</v>
          </cell>
          <cell r="E439">
            <v>14600</v>
          </cell>
          <cell r="F439">
            <v>10.8</v>
          </cell>
          <cell r="G439">
            <v>14560</v>
          </cell>
          <cell r="H439">
            <v>13050</v>
          </cell>
          <cell r="I439">
            <v>1510</v>
          </cell>
          <cell r="J439">
            <v>10.351616152366997</v>
          </cell>
        </row>
        <row r="440">
          <cell r="B440" t="str">
            <v>CT5313007</v>
          </cell>
          <cell r="C440">
            <v>13020</v>
          </cell>
          <cell r="D440">
            <v>1410</v>
          </cell>
          <cell r="E440">
            <v>14430</v>
          </cell>
          <cell r="F440">
            <v>9.8000000000000007</v>
          </cell>
          <cell r="G440">
            <v>14540</v>
          </cell>
          <cell r="H440">
            <v>13050</v>
          </cell>
          <cell r="I440">
            <v>1490</v>
          </cell>
          <cell r="J440">
            <v>10.273185394748474</v>
          </cell>
        </row>
        <row r="441">
          <cell r="B441" t="str">
            <v>CT5313008</v>
          </cell>
          <cell r="C441" t="str">
            <v/>
          </cell>
          <cell r="D441" t="str">
            <v/>
          </cell>
          <cell r="E441" t="e">
            <v>#VALUE!</v>
          </cell>
          <cell r="F441" t="str">
            <v/>
          </cell>
          <cell r="G441" t="str">
            <v/>
          </cell>
          <cell r="H441" t="str">
            <v/>
          </cell>
          <cell r="I441" t="str">
            <v/>
          </cell>
          <cell r="J441" t="str">
            <v/>
          </cell>
        </row>
        <row r="442">
          <cell r="B442" t="str">
            <v>CT5313009</v>
          </cell>
          <cell r="C442" t="str">
            <v/>
          </cell>
          <cell r="D442" t="str">
            <v/>
          </cell>
          <cell r="E442" t="e">
            <v>#VALUE!</v>
          </cell>
          <cell r="F442" t="str">
            <v/>
          </cell>
          <cell r="G442" t="str">
            <v/>
          </cell>
          <cell r="H442" t="str">
            <v/>
          </cell>
          <cell r="I442" t="str">
            <v/>
          </cell>
          <cell r="J442" t="str">
            <v/>
          </cell>
        </row>
        <row r="443">
          <cell r="B443" t="str">
            <v>CT53130010</v>
          </cell>
          <cell r="C443" t="str">
            <v/>
          </cell>
          <cell r="D443" t="str">
            <v/>
          </cell>
          <cell r="E443" t="e">
            <v>#VALUE!</v>
          </cell>
          <cell r="F443" t="str">
            <v/>
          </cell>
          <cell r="G443" t="str">
            <v/>
          </cell>
          <cell r="H443" t="str">
            <v/>
          </cell>
          <cell r="I443" t="str">
            <v/>
          </cell>
          <cell r="J443" t="str">
            <v/>
          </cell>
        </row>
        <row r="444">
          <cell r="B444" t="str">
            <v>CT53130011</v>
          </cell>
          <cell r="C444" t="str">
            <v/>
          </cell>
          <cell r="D444" t="str">
            <v/>
          </cell>
          <cell r="E444" t="e">
            <v>#VALUE!</v>
          </cell>
          <cell r="F444" t="str">
            <v/>
          </cell>
          <cell r="G444" t="str">
            <v/>
          </cell>
          <cell r="H444" t="str">
            <v/>
          </cell>
          <cell r="I444" t="str">
            <v/>
          </cell>
          <cell r="J444" t="str">
            <v/>
          </cell>
        </row>
        <row r="445">
          <cell r="B445" t="str">
            <v>CT53130012</v>
          </cell>
          <cell r="C445" t="str">
            <v/>
          </cell>
          <cell r="D445" t="str">
            <v/>
          </cell>
          <cell r="E445" t="e">
            <v>#VALUE!</v>
          </cell>
          <cell r="F445" t="str">
            <v/>
          </cell>
          <cell r="G445" t="str">
            <v/>
          </cell>
          <cell r="H445" t="str">
            <v/>
          </cell>
          <cell r="I445" t="str">
            <v/>
          </cell>
          <cell r="J445" t="str">
            <v/>
          </cell>
        </row>
        <row r="446">
          <cell r="B446" t="str">
            <v>CT5312001</v>
          </cell>
          <cell r="C446">
            <v>21310</v>
          </cell>
          <cell r="D446">
            <v>1390</v>
          </cell>
          <cell r="E446">
            <v>22700</v>
          </cell>
          <cell r="F446">
            <v>6.1</v>
          </cell>
          <cell r="G446">
            <v>22700</v>
          </cell>
          <cell r="H446">
            <v>21310</v>
          </cell>
          <cell r="I446">
            <v>1390</v>
          </cell>
          <cell r="J446">
            <v>6.1</v>
          </cell>
        </row>
        <row r="447">
          <cell r="B447" t="str">
            <v>CT5312002</v>
          </cell>
          <cell r="C447">
            <v>21430</v>
          </cell>
          <cell r="D447">
            <v>1400</v>
          </cell>
          <cell r="E447">
            <v>22830</v>
          </cell>
          <cell r="F447">
            <v>6.1</v>
          </cell>
          <cell r="G447">
            <v>22760</v>
          </cell>
          <cell r="H447">
            <v>21370</v>
          </cell>
          <cell r="I447">
            <v>1390</v>
          </cell>
          <cell r="J447">
            <v>6.1235695930066552</v>
          </cell>
        </row>
        <row r="448">
          <cell r="B448" t="str">
            <v>CT5312003</v>
          </cell>
          <cell r="C448">
            <v>21350</v>
          </cell>
          <cell r="D448">
            <v>1410</v>
          </cell>
          <cell r="E448">
            <v>22760</v>
          </cell>
          <cell r="F448">
            <v>6.2</v>
          </cell>
          <cell r="G448">
            <v>22760</v>
          </cell>
          <cell r="H448">
            <v>21360</v>
          </cell>
          <cell r="I448">
            <v>1400</v>
          </cell>
          <cell r="J448">
            <v>6.1473129301508269</v>
          </cell>
        </row>
        <row r="449">
          <cell r="B449" t="str">
            <v>CT5312004</v>
          </cell>
          <cell r="C449">
            <v>21140</v>
          </cell>
          <cell r="D449">
            <v>1240</v>
          </cell>
          <cell r="E449">
            <v>22380</v>
          </cell>
          <cell r="F449">
            <v>5.5</v>
          </cell>
          <cell r="G449">
            <v>22670</v>
          </cell>
          <cell r="H449">
            <v>21310</v>
          </cell>
          <cell r="I449">
            <v>1360</v>
          </cell>
          <cell r="J449">
            <v>5.9956323208258882</v>
          </cell>
        </row>
        <row r="450">
          <cell r="B450" t="str">
            <v>CT5312005</v>
          </cell>
          <cell r="C450">
            <v>21260</v>
          </cell>
          <cell r="D450">
            <v>1280</v>
          </cell>
          <cell r="E450">
            <v>22540</v>
          </cell>
          <cell r="F450">
            <v>5.7</v>
          </cell>
          <cell r="G450">
            <v>22640</v>
          </cell>
          <cell r="H450">
            <v>21300</v>
          </cell>
          <cell r="I450">
            <v>1340</v>
          </cell>
          <cell r="J450">
            <v>5.9299500905437039</v>
          </cell>
        </row>
        <row r="451">
          <cell r="B451" t="str">
            <v>CT5312006</v>
          </cell>
          <cell r="C451">
            <v>21250</v>
          </cell>
          <cell r="D451">
            <v>1510</v>
          </cell>
          <cell r="E451">
            <v>22760</v>
          </cell>
          <cell r="F451">
            <v>6.6</v>
          </cell>
          <cell r="G451">
            <v>22660</v>
          </cell>
          <cell r="H451">
            <v>21290</v>
          </cell>
          <cell r="I451">
            <v>1370</v>
          </cell>
          <cell r="J451">
            <v>6.0459847894202623</v>
          </cell>
        </row>
        <row r="452">
          <cell r="B452" t="str">
            <v>CT5312007</v>
          </cell>
          <cell r="C452">
            <v>21230</v>
          </cell>
          <cell r="D452">
            <v>1530</v>
          </cell>
          <cell r="E452">
            <v>22760</v>
          </cell>
          <cell r="F452">
            <v>6.7</v>
          </cell>
          <cell r="G452">
            <v>22670</v>
          </cell>
          <cell r="H452">
            <v>21280</v>
          </cell>
          <cell r="I452">
            <v>1390</v>
          </cell>
          <cell r="J452">
            <v>6.1436005998059446</v>
          </cell>
        </row>
        <row r="453">
          <cell r="B453" t="str">
            <v>CT5312008</v>
          </cell>
          <cell r="C453" t="str">
            <v/>
          </cell>
          <cell r="D453" t="str">
            <v/>
          </cell>
          <cell r="E453" t="e">
            <v>#VALUE!</v>
          </cell>
          <cell r="F453" t="str">
            <v/>
          </cell>
          <cell r="G453" t="str">
            <v/>
          </cell>
          <cell r="H453" t="str">
            <v/>
          </cell>
          <cell r="I453" t="str">
            <v/>
          </cell>
          <cell r="J453" t="str">
            <v/>
          </cell>
        </row>
        <row r="454">
          <cell r="B454" t="str">
            <v>CT5312009</v>
          </cell>
          <cell r="C454" t="str">
            <v/>
          </cell>
          <cell r="D454" t="str">
            <v/>
          </cell>
          <cell r="E454" t="e">
            <v>#VALUE!</v>
          </cell>
          <cell r="F454" t="str">
            <v/>
          </cell>
          <cell r="G454" t="str">
            <v/>
          </cell>
          <cell r="H454" t="str">
            <v/>
          </cell>
          <cell r="I454" t="str">
            <v/>
          </cell>
          <cell r="J454" t="str">
            <v/>
          </cell>
        </row>
        <row r="455">
          <cell r="B455" t="str">
            <v>CT53120010</v>
          </cell>
          <cell r="C455" t="str">
            <v/>
          </cell>
          <cell r="D455" t="str">
            <v/>
          </cell>
          <cell r="E455" t="e">
            <v>#VALUE!</v>
          </cell>
          <cell r="F455" t="str">
            <v/>
          </cell>
          <cell r="G455" t="str">
            <v/>
          </cell>
          <cell r="H455" t="str">
            <v/>
          </cell>
          <cell r="I455" t="str">
            <v/>
          </cell>
          <cell r="J455" t="str">
            <v/>
          </cell>
        </row>
        <row r="456">
          <cell r="B456" t="str">
            <v>CT53120011</v>
          </cell>
          <cell r="C456" t="str">
            <v/>
          </cell>
          <cell r="D456" t="str">
            <v/>
          </cell>
          <cell r="E456" t="e">
            <v>#VALUE!</v>
          </cell>
          <cell r="F456" t="str">
            <v/>
          </cell>
          <cell r="G456" t="str">
            <v/>
          </cell>
          <cell r="H456" t="str">
            <v/>
          </cell>
          <cell r="I456" t="str">
            <v/>
          </cell>
          <cell r="J456" t="str">
            <v/>
          </cell>
        </row>
        <row r="457">
          <cell r="B457" t="str">
            <v>CT53120012</v>
          </cell>
          <cell r="C457" t="str">
            <v/>
          </cell>
          <cell r="D457" t="str">
            <v/>
          </cell>
          <cell r="E457" t="e">
            <v>#VALUE!</v>
          </cell>
          <cell r="F457" t="str">
            <v/>
          </cell>
          <cell r="G457" t="str">
            <v/>
          </cell>
          <cell r="H457" t="str">
            <v/>
          </cell>
          <cell r="I457" t="str">
            <v/>
          </cell>
          <cell r="J457" t="str">
            <v/>
          </cell>
        </row>
        <row r="458">
          <cell r="B458" t="str">
            <v>CT5311001</v>
          </cell>
          <cell r="C458">
            <v>13750</v>
          </cell>
          <cell r="D458">
            <v>1660</v>
          </cell>
          <cell r="E458">
            <v>15410</v>
          </cell>
          <cell r="F458">
            <v>10.8</v>
          </cell>
          <cell r="G458">
            <v>15410</v>
          </cell>
          <cell r="H458">
            <v>13750</v>
          </cell>
          <cell r="I458">
            <v>1660</v>
          </cell>
          <cell r="J458">
            <v>10.8</v>
          </cell>
        </row>
        <row r="459">
          <cell r="B459" t="str">
            <v>CT5311002</v>
          </cell>
          <cell r="C459">
            <v>13870</v>
          </cell>
          <cell r="D459">
            <v>1610</v>
          </cell>
          <cell r="E459">
            <v>15480</v>
          </cell>
          <cell r="F459">
            <v>10.4</v>
          </cell>
          <cell r="G459">
            <v>15450</v>
          </cell>
          <cell r="H459">
            <v>13810</v>
          </cell>
          <cell r="I459">
            <v>1640</v>
          </cell>
          <cell r="J459">
            <v>10.598899320168339</v>
          </cell>
        </row>
        <row r="460">
          <cell r="B460" t="str">
            <v>CT5311003</v>
          </cell>
          <cell r="C460">
            <v>13760</v>
          </cell>
          <cell r="D460">
            <v>1640</v>
          </cell>
          <cell r="E460">
            <v>15400</v>
          </cell>
          <cell r="F460">
            <v>10.6</v>
          </cell>
          <cell r="G460">
            <v>15430</v>
          </cell>
          <cell r="H460">
            <v>13790</v>
          </cell>
          <cell r="I460">
            <v>1640</v>
          </cell>
          <cell r="J460">
            <v>10.615683732987687</v>
          </cell>
        </row>
        <row r="461">
          <cell r="B461" t="str">
            <v>CT5311004</v>
          </cell>
          <cell r="C461">
            <v>13840</v>
          </cell>
          <cell r="D461">
            <v>1410</v>
          </cell>
          <cell r="E461">
            <v>15250</v>
          </cell>
          <cell r="F461">
            <v>9.3000000000000007</v>
          </cell>
          <cell r="G461">
            <v>15380</v>
          </cell>
          <cell r="H461">
            <v>13800</v>
          </cell>
          <cell r="I461">
            <v>1580</v>
          </cell>
          <cell r="J461">
            <v>10.279994149861059</v>
          </cell>
        </row>
        <row r="462">
          <cell r="B462" t="str">
            <v>CT5311005</v>
          </cell>
          <cell r="C462">
            <v>13810</v>
          </cell>
          <cell r="D462">
            <v>1440</v>
          </cell>
          <cell r="E462">
            <v>15250</v>
          </cell>
          <cell r="F462">
            <v>9.4</v>
          </cell>
          <cell r="G462">
            <v>15360</v>
          </cell>
          <cell r="H462">
            <v>13800</v>
          </cell>
          <cell r="I462">
            <v>1550</v>
          </cell>
          <cell r="J462">
            <v>10.10836437521165</v>
          </cell>
        </row>
        <row r="463">
          <cell r="B463" t="str">
            <v>CT5311006</v>
          </cell>
          <cell r="C463">
            <v>13750</v>
          </cell>
          <cell r="D463">
            <v>1520</v>
          </cell>
          <cell r="E463">
            <v>15270</v>
          </cell>
          <cell r="F463">
            <v>9.9</v>
          </cell>
          <cell r="G463">
            <v>15340</v>
          </cell>
          <cell r="H463">
            <v>13790</v>
          </cell>
          <cell r="I463">
            <v>1550</v>
          </cell>
          <cell r="J463">
            <v>10.079742737326988</v>
          </cell>
        </row>
        <row r="464">
          <cell r="B464" t="str">
            <v>CT5311007</v>
          </cell>
          <cell r="C464">
            <v>14060</v>
          </cell>
          <cell r="D464">
            <v>1460</v>
          </cell>
          <cell r="E464">
            <v>15520</v>
          </cell>
          <cell r="F464">
            <v>9.4</v>
          </cell>
          <cell r="G464">
            <v>15370</v>
          </cell>
          <cell r="H464">
            <v>13830</v>
          </cell>
          <cell r="I464">
            <v>1530</v>
          </cell>
          <cell r="J464">
            <v>9.9823354406842686</v>
          </cell>
        </row>
        <row r="465">
          <cell r="B465" t="str">
            <v>CT5311008</v>
          </cell>
          <cell r="C465" t="str">
            <v/>
          </cell>
          <cell r="D465" t="str">
            <v/>
          </cell>
          <cell r="E465" t="e">
            <v>#VALUE!</v>
          </cell>
          <cell r="F465" t="str">
            <v/>
          </cell>
          <cell r="G465" t="str">
            <v/>
          </cell>
          <cell r="H465" t="str">
            <v/>
          </cell>
          <cell r="I465" t="str">
            <v/>
          </cell>
          <cell r="J465" t="str">
            <v/>
          </cell>
        </row>
        <row r="466">
          <cell r="B466" t="str">
            <v>CT5311009</v>
          </cell>
          <cell r="C466" t="str">
            <v/>
          </cell>
          <cell r="D466" t="str">
            <v/>
          </cell>
          <cell r="E466" t="e">
            <v>#VALUE!</v>
          </cell>
          <cell r="F466" t="str">
            <v/>
          </cell>
          <cell r="G466" t="str">
            <v/>
          </cell>
          <cell r="H466" t="str">
            <v/>
          </cell>
          <cell r="I466" t="str">
            <v/>
          </cell>
          <cell r="J466" t="str">
            <v/>
          </cell>
        </row>
        <row r="467">
          <cell r="B467" t="str">
            <v>CT53110010</v>
          </cell>
          <cell r="C467" t="str">
            <v/>
          </cell>
          <cell r="D467" t="str">
            <v/>
          </cell>
          <cell r="E467" t="e">
            <v>#VALUE!</v>
          </cell>
          <cell r="F467" t="str">
            <v/>
          </cell>
          <cell r="G467" t="str">
            <v/>
          </cell>
          <cell r="H467" t="str">
            <v/>
          </cell>
          <cell r="I467" t="str">
            <v/>
          </cell>
          <cell r="J467" t="str">
            <v/>
          </cell>
        </row>
        <row r="468">
          <cell r="B468" t="str">
            <v>CT53110011</v>
          </cell>
          <cell r="C468" t="str">
            <v/>
          </cell>
          <cell r="D468" t="str">
            <v/>
          </cell>
          <cell r="E468" t="e">
            <v>#VALUE!</v>
          </cell>
          <cell r="F468" t="str">
            <v/>
          </cell>
          <cell r="G468" t="str">
            <v/>
          </cell>
          <cell r="H468" t="str">
            <v/>
          </cell>
          <cell r="I468" t="str">
            <v/>
          </cell>
          <cell r="J468" t="str">
            <v/>
          </cell>
        </row>
        <row r="469">
          <cell r="B469" t="str">
            <v>CT53110012</v>
          </cell>
          <cell r="C469" t="str">
            <v/>
          </cell>
          <cell r="D469" t="str">
            <v/>
          </cell>
          <cell r="E469" t="e">
            <v>#VALUE!</v>
          </cell>
          <cell r="F469" t="str">
            <v/>
          </cell>
          <cell r="G469" t="str">
            <v/>
          </cell>
          <cell r="H469" t="str">
            <v/>
          </cell>
          <cell r="I469" t="str">
            <v/>
          </cell>
          <cell r="J469" t="str">
            <v/>
          </cell>
        </row>
        <row r="470">
          <cell r="B470" t="str">
            <v>CT5310001</v>
          </cell>
          <cell r="C470">
            <v>16190</v>
          </cell>
          <cell r="D470">
            <v>1800</v>
          </cell>
          <cell r="E470">
            <v>17990</v>
          </cell>
          <cell r="F470">
            <v>10</v>
          </cell>
          <cell r="G470">
            <v>17990</v>
          </cell>
          <cell r="H470">
            <v>16190</v>
          </cell>
          <cell r="I470">
            <v>1800</v>
          </cell>
          <cell r="J470">
            <v>10</v>
          </cell>
        </row>
        <row r="471">
          <cell r="B471" t="str">
            <v>CT5310002</v>
          </cell>
          <cell r="C471">
            <v>16280</v>
          </cell>
          <cell r="D471">
            <v>1910</v>
          </cell>
          <cell r="E471">
            <v>18190</v>
          </cell>
          <cell r="F471">
            <v>10.5</v>
          </cell>
          <cell r="G471">
            <v>18090</v>
          </cell>
          <cell r="H471">
            <v>16240</v>
          </cell>
          <cell r="I471">
            <v>1850</v>
          </cell>
          <cell r="J471">
            <v>10.240464344941957</v>
          </cell>
        </row>
        <row r="472">
          <cell r="B472" t="str">
            <v>CT5310003</v>
          </cell>
          <cell r="C472">
            <v>16220</v>
          </cell>
          <cell r="D472">
            <v>1820</v>
          </cell>
          <cell r="E472">
            <v>18040</v>
          </cell>
          <cell r="F472">
            <v>10.1</v>
          </cell>
          <cell r="G472">
            <v>18080</v>
          </cell>
          <cell r="H472">
            <v>16230</v>
          </cell>
          <cell r="I472">
            <v>1840</v>
          </cell>
          <cell r="J472">
            <v>10.194371703610814</v>
          </cell>
        </row>
        <row r="473">
          <cell r="B473" t="str">
            <v>CT5310004</v>
          </cell>
          <cell r="C473">
            <v>16060</v>
          </cell>
          <cell r="D473">
            <v>1700</v>
          </cell>
          <cell r="E473">
            <v>17760</v>
          </cell>
          <cell r="F473">
            <v>9.6</v>
          </cell>
          <cell r="G473">
            <v>18000</v>
          </cell>
          <cell r="H473">
            <v>16190</v>
          </cell>
          <cell r="I473">
            <v>1810</v>
          </cell>
          <cell r="J473">
            <v>10.044450618141408</v>
          </cell>
        </row>
        <row r="474">
          <cell r="B474" t="str">
            <v>CT5310005</v>
          </cell>
          <cell r="C474">
            <v>16160</v>
          </cell>
          <cell r="D474">
            <v>1670</v>
          </cell>
          <cell r="E474">
            <v>17830</v>
          </cell>
          <cell r="F474">
            <v>9.3000000000000007</v>
          </cell>
          <cell r="G474">
            <v>17960</v>
          </cell>
          <cell r="H474">
            <v>16180</v>
          </cell>
          <cell r="I474">
            <v>1780</v>
          </cell>
          <cell r="J474">
            <v>9.905355751029953</v>
          </cell>
        </row>
        <row r="475">
          <cell r="B475" t="str">
            <v>CT5310006</v>
          </cell>
          <cell r="C475">
            <v>16140</v>
          </cell>
          <cell r="D475">
            <v>1840</v>
          </cell>
          <cell r="E475">
            <v>17980</v>
          </cell>
          <cell r="F475">
            <v>10.199999999999999</v>
          </cell>
          <cell r="G475">
            <v>17970</v>
          </cell>
          <cell r="H475">
            <v>16180</v>
          </cell>
          <cell r="I475">
            <v>1790</v>
          </cell>
          <cell r="J475">
            <v>9.9589951016773046</v>
          </cell>
        </row>
        <row r="476">
          <cell r="B476" t="str">
            <v>CT5310007</v>
          </cell>
          <cell r="C476">
            <v>16130</v>
          </cell>
          <cell r="D476">
            <v>1780</v>
          </cell>
          <cell r="E476">
            <v>17910</v>
          </cell>
          <cell r="F476">
            <v>9.9</v>
          </cell>
          <cell r="G476">
            <v>17960</v>
          </cell>
          <cell r="H476">
            <v>16170</v>
          </cell>
          <cell r="I476">
            <v>1790</v>
          </cell>
          <cell r="J476">
            <v>9.9546539379474943</v>
          </cell>
        </row>
        <row r="477">
          <cell r="B477" t="str">
            <v>CT5310008</v>
          </cell>
          <cell r="C477" t="str">
            <v/>
          </cell>
          <cell r="D477" t="str">
            <v/>
          </cell>
          <cell r="E477" t="e">
            <v>#VALUE!</v>
          </cell>
          <cell r="F477" t="str">
            <v/>
          </cell>
          <cell r="G477" t="str">
            <v/>
          </cell>
          <cell r="H477" t="str">
            <v/>
          </cell>
          <cell r="I477" t="str">
            <v/>
          </cell>
          <cell r="J477" t="str">
            <v/>
          </cell>
        </row>
        <row r="478">
          <cell r="B478" t="str">
            <v>CT5310009</v>
          </cell>
          <cell r="C478" t="str">
            <v/>
          </cell>
          <cell r="D478" t="str">
            <v/>
          </cell>
          <cell r="E478" t="e">
            <v>#VALUE!</v>
          </cell>
          <cell r="F478" t="str">
            <v/>
          </cell>
          <cell r="G478" t="str">
            <v/>
          </cell>
          <cell r="H478" t="str">
            <v/>
          </cell>
          <cell r="I478" t="str">
            <v/>
          </cell>
          <cell r="J478" t="str">
            <v/>
          </cell>
        </row>
        <row r="479">
          <cell r="B479" t="str">
            <v>CT53100010</v>
          </cell>
          <cell r="C479" t="str">
            <v/>
          </cell>
          <cell r="D479" t="str">
            <v/>
          </cell>
          <cell r="E479" t="e">
            <v>#VALUE!</v>
          </cell>
          <cell r="F479" t="str">
            <v/>
          </cell>
          <cell r="G479" t="str">
            <v/>
          </cell>
          <cell r="H479" t="str">
            <v/>
          </cell>
          <cell r="I479" t="str">
            <v/>
          </cell>
          <cell r="J479" t="str">
            <v/>
          </cell>
        </row>
        <row r="480">
          <cell r="B480" t="str">
            <v>CT53100011</v>
          </cell>
          <cell r="C480" t="str">
            <v/>
          </cell>
          <cell r="D480" t="str">
            <v/>
          </cell>
          <cell r="E480" t="e">
            <v>#VALUE!</v>
          </cell>
          <cell r="F480" t="str">
            <v/>
          </cell>
          <cell r="G480" t="str">
            <v/>
          </cell>
          <cell r="H480" t="str">
            <v/>
          </cell>
          <cell r="I480" t="str">
            <v/>
          </cell>
          <cell r="J480" t="str">
            <v/>
          </cell>
        </row>
        <row r="481">
          <cell r="B481" t="str">
            <v>CT53100012</v>
          </cell>
          <cell r="C481" t="str">
            <v/>
          </cell>
          <cell r="D481" t="str">
            <v/>
          </cell>
          <cell r="E481" t="e">
            <v>#VALUE!</v>
          </cell>
          <cell r="F481" t="str">
            <v/>
          </cell>
          <cell r="G481" t="str">
            <v/>
          </cell>
          <cell r="H481" t="str">
            <v/>
          </cell>
          <cell r="I481" t="str">
            <v/>
          </cell>
          <cell r="J481" t="str">
            <v/>
          </cell>
        </row>
        <row r="482">
          <cell r="B482" t="str">
            <v>CT5308501</v>
          </cell>
          <cell r="C482">
            <v>15460</v>
          </cell>
          <cell r="D482">
            <v>1280</v>
          </cell>
          <cell r="E482">
            <v>16740</v>
          </cell>
          <cell r="F482">
            <v>7.7</v>
          </cell>
          <cell r="G482">
            <v>16740</v>
          </cell>
          <cell r="H482">
            <v>15460</v>
          </cell>
          <cell r="I482">
            <v>1280</v>
          </cell>
          <cell r="J482">
            <v>7.7</v>
          </cell>
        </row>
        <row r="483">
          <cell r="B483" t="str">
            <v>CT5308502</v>
          </cell>
          <cell r="C483">
            <v>15350</v>
          </cell>
          <cell r="D483">
            <v>1310</v>
          </cell>
          <cell r="E483">
            <v>16660</v>
          </cell>
          <cell r="F483">
            <v>7.9</v>
          </cell>
          <cell r="G483">
            <v>16700</v>
          </cell>
          <cell r="H483">
            <v>15400</v>
          </cell>
          <cell r="I483">
            <v>1300</v>
          </cell>
          <cell r="J483">
            <v>7.7699263428947845</v>
          </cell>
        </row>
        <row r="484">
          <cell r="B484" t="str">
            <v>CT5308503</v>
          </cell>
          <cell r="C484">
            <v>15370</v>
          </cell>
          <cell r="D484">
            <v>1330</v>
          </cell>
          <cell r="E484">
            <v>16700</v>
          </cell>
          <cell r="F484">
            <v>8</v>
          </cell>
          <cell r="G484">
            <v>16700</v>
          </cell>
          <cell r="H484">
            <v>15390</v>
          </cell>
          <cell r="I484">
            <v>1310</v>
          </cell>
          <cell r="J484">
            <v>7.8344877143256344</v>
          </cell>
        </row>
        <row r="485">
          <cell r="B485" t="str">
            <v>CT5308504</v>
          </cell>
          <cell r="C485">
            <v>15340</v>
          </cell>
          <cell r="D485">
            <v>1230</v>
          </cell>
          <cell r="E485">
            <v>16570</v>
          </cell>
          <cell r="F485">
            <v>7.4</v>
          </cell>
          <cell r="G485">
            <v>16670</v>
          </cell>
          <cell r="H485">
            <v>15380</v>
          </cell>
          <cell r="I485">
            <v>1290</v>
          </cell>
          <cell r="J485">
            <v>7.7346491885892554</v>
          </cell>
        </row>
        <row r="486">
          <cell r="B486" t="str">
            <v>CT5308505</v>
          </cell>
          <cell r="C486">
            <v>15500</v>
          </cell>
          <cell r="D486">
            <v>1260</v>
          </cell>
          <cell r="E486">
            <v>16760</v>
          </cell>
          <cell r="F486">
            <v>7.5</v>
          </cell>
          <cell r="G486">
            <v>16690</v>
          </cell>
          <cell r="H486">
            <v>15400</v>
          </cell>
          <cell r="I486">
            <v>1280</v>
          </cell>
          <cell r="J486">
            <v>7.6876056236740862</v>
          </cell>
        </row>
        <row r="487">
          <cell r="B487" t="str">
            <v>CT5308506</v>
          </cell>
          <cell r="C487">
            <v>15200</v>
          </cell>
          <cell r="D487">
            <v>1330</v>
          </cell>
          <cell r="E487">
            <v>16530</v>
          </cell>
          <cell r="F487">
            <v>8.1</v>
          </cell>
          <cell r="G487">
            <v>16660</v>
          </cell>
          <cell r="H487">
            <v>15370</v>
          </cell>
          <cell r="I487">
            <v>1290</v>
          </cell>
          <cell r="J487">
            <v>7.7500225087784234</v>
          </cell>
        </row>
        <row r="488">
          <cell r="B488" t="str">
            <v>CT5308507</v>
          </cell>
          <cell r="C488">
            <v>14960</v>
          </cell>
          <cell r="D488">
            <v>1290</v>
          </cell>
          <cell r="E488">
            <v>16250</v>
          </cell>
          <cell r="F488">
            <v>7.9</v>
          </cell>
          <cell r="G488">
            <v>16600</v>
          </cell>
          <cell r="H488">
            <v>15310</v>
          </cell>
          <cell r="I488">
            <v>1290</v>
          </cell>
          <cell r="J488">
            <v>7.777758656295175</v>
          </cell>
        </row>
        <row r="489">
          <cell r="B489" t="str">
            <v>CT5308508</v>
          </cell>
          <cell r="C489" t="str">
            <v/>
          </cell>
          <cell r="D489" t="str">
            <v/>
          </cell>
          <cell r="E489" t="e">
            <v>#VALUE!</v>
          </cell>
          <cell r="F489" t="str">
            <v/>
          </cell>
          <cell r="G489" t="str">
            <v/>
          </cell>
          <cell r="H489" t="str">
            <v/>
          </cell>
          <cell r="I489" t="str">
            <v/>
          </cell>
          <cell r="J489" t="str">
            <v/>
          </cell>
        </row>
        <row r="490">
          <cell r="B490" t="str">
            <v>CT5308509</v>
          </cell>
          <cell r="C490" t="str">
            <v/>
          </cell>
          <cell r="D490" t="str">
            <v/>
          </cell>
          <cell r="E490" t="e">
            <v>#VALUE!</v>
          </cell>
          <cell r="F490" t="str">
            <v/>
          </cell>
          <cell r="G490" t="str">
            <v/>
          </cell>
          <cell r="H490" t="str">
            <v/>
          </cell>
          <cell r="I490" t="str">
            <v/>
          </cell>
          <cell r="J490" t="str">
            <v/>
          </cell>
        </row>
        <row r="491">
          <cell r="B491" t="str">
            <v>CT53085010</v>
          </cell>
          <cell r="C491" t="str">
            <v/>
          </cell>
          <cell r="D491" t="str">
            <v/>
          </cell>
          <cell r="E491" t="e">
            <v>#VALUE!</v>
          </cell>
          <cell r="F491" t="str">
            <v/>
          </cell>
          <cell r="G491" t="str">
            <v/>
          </cell>
          <cell r="H491" t="str">
            <v/>
          </cell>
          <cell r="I491" t="str">
            <v/>
          </cell>
          <cell r="J491" t="str">
            <v/>
          </cell>
        </row>
        <row r="492">
          <cell r="B492" t="str">
            <v>CT53085011</v>
          </cell>
          <cell r="C492" t="str">
            <v/>
          </cell>
          <cell r="D492" t="str">
            <v/>
          </cell>
          <cell r="E492" t="e">
            <v>#VALUE!</v>
          </cell>
          <cell r="F492" t="str">
            <v/>
          </cell>
          <cell r="G492" t="str">
            <v/>
          </cell>
          <cell r="H492" t="str">
            <v/>
          </cell>
          <cell r="I492" t="str">
            <v/>
          </cell>
          <cell r="J492" t="str">
            <v/>
          </cell>
        </row>
        <row r="493">
          <cell r="B493" t="str">
            <v>CT53085012</v>
          </cell>
          <cell r="C493" t="str">
            <v/>
          </cell>
          <cell r="D493" t="str">
            <v/>
          </cell>
          <cell r="E493" t="e">
            <v>#VALUE!</v>
          </cell>
          <cell r="F493" t="str">
            <v/>
          </cell>
          <cell r="G493" t="str">
            <v/>
          </cell>
          <cell r="H493" t="str">
            <v/>
          </cell>
          <cell r="I493" t="str">
            <v/>
          </cell>
          <cell r="J493" t="str">
            <v/>
          </cell>
        </row>
        <row r="494">
          <cell r="B494" t="str">
            <v>CT5308001</v>
          </cell>
          <cell r="C494">
            <v>42820</v>
          </cell>
          <cell r="D494">
            <v>4470</v>
          </cell>
          <cell r="E494">
            <v>47290</v>
          </cell>
          <cell r="F494">
            <v>9.5</v>
          </cell>
          <cell r="G494">
            <v>47290</v>
          </cell>
          <cell r="H494">
            <v>42820</v>
          </cell>
          <cell r="I494">
            <v>4470</v>
          </cell>
          <cell r="J494">
            <v>9.5</v>
          </cell>
        </row>
        <row r="495">
          <cell r="B495" t="str">
            <v>CT5308002</v>
          </cell>
          <cell r="C495">
            <v>43060</v>
          </cell>
          <cell r="D495">
            <v>4520</v>
          </cell>
          <cell r="E495">
            <v>47580</v>
          </cell>
          <cell r="F495">
            <v>9.5</v>
          </cell>
          <cell r="G495">
            <v>47430</v>
          </cell>
          <cell r="H495">
            <v>42940</v>
          </cell>
          <cell r="I495">
            <v>4500</v>
          </cell>
          <cell r="J495">
            <v>9.4772791955222466</v>
          </cell>
        </row>
        <row r="496">
          <cell r="B496" t="str">
            <v>CT5308003</v>
          </cell>
          <cell r="C496">
            <v>42900</v>
          </cell>
          <cell r="D496">
            <v>4570</v>
          </cell>
          <cell r="E496">
            <v>47470</v>
          </cell>
          <cell r="F496">
            <v>9.6</v>
          </cell>
          <cell r="G496">
            <v>47450</v>
          </cell>
          <cell r="H496">
            <v>42930</v>
          </cell>
          <cell r="I496">
            <v>4520</v>
          </cell>
          <cell r="J496">
            <v>9.5246459082733814</v>
          </cell>
        </row>
        <row r="497">
          <cell r="B497" t="str">
            <v>CT5308004</v>
          </cell>
          <cell r="C497">
            <v>42470</v>
          </cell>
          <cell r="D497">
            <v>4340</v>
          </cell>
          <cell r="E497">
            <v>46810</v>
          </cell>
          <cell r="F497">
            <v>9.3000000000000007</v>
          </cell>
          <cell r="G497">
            <v>47290</v>
          </cell>
          <cell r="H497">
            <v>42810</v>
          </cell>
          <cell r="I497">
            <v>4470</v>
          </cell>
          <cell r="J497">
            <v>9.4604168208685344</v>
          </cell>
        </row>
        <row r="498">
          <cell r="B498" t="str">
            <v>CT5308005</v>
          </cell>
          <cell r="C498">
            <v>42720</v>
          </cell>
          <cell r="D498">
            <v>4390</v>
          </cell>
          <cell r="E498">
            <v>47110</v>
          </cell>
          <cell r="F498">
            <v>9.3000000000000007</v>
          </cell>
          <cell r="G498">
            <v>47250</v>
          </cell>
          <cell r="H498">
            <v>42790</v>
          </cell>
          <cell r="I498">
            <v>4460</v>
          </cell>
          <cell r="J498">
            <v>9.4332515025818999</v>
          </cell>
        </row>
        <row r="499">
          <cell r="B499" t="str">
            <v>CT5308006</v>
          </cell>
          <cell r="C499">
            <v>42690</v>
          </cell>
          <cell r="D499">
            <v>4730</v>
          </cell>
          <cell r="E499">
            <v>47420</v>
          </cell>
          <cell r="F499">
            <v>10</v>
          </cell>
          <cell r="G499">
            <v>47280</v>
          </cell>
          <cell r="H499">
            <v>42780</v>
          </cell>
          <cell r="I499">
            <v>4500</v>
          </cell>
          <cell r="J499">
            <v>9.523473797756612</v>
          </cell>
        </row>
        <row r="500">
          <cell r="B500" t="str">
            <v>CT5308007</v>
          </cell>
          <cell r="C500">
            <v>42660</v>
          </cell>
          <cell r="D500">
            <v>4640</v>
          </cell>
          <cell r="E500">
            <v>47300</v>
          </cell>
          <cell r="F500">
            <v>9.8000000000000007</v>
          </cell>
          <cell r="G500">
            <v>47280</v>
          </cell>
          <cell r="H500">
            <v>42760</v>
          </cell>
          <cell r="I500">
            <v>4520</v>
          </cell>
          <cell r="J500">
            <v>9.564799651936406</v>
          </cell>
        </row>
        <row r="501">
          <cell r="B501" t="str">
            <v>CT5308008</v>
          </cell>
          <cell r="C501" t="str">
            <v/>
          </cell>
          <cell r="D501" t="str">
            <v/>
          </cell>
          <cell r="E501" t="e">
            <v>#VALUE!</v>
          </cell>
          <cell r="F501" t="str">
            <v/>
          </cell>
          <cell r="G501" t="str">
            <v/>
          </cell>
          <cell r="H501" t="str">
            <v/>
          </cell>
          <cell r="I501" t="str">
            <v/>
          </cell>
          <cell r="J501" t="str">
            <v/>
          </cell>
        </row>
        <row r="502">
          <cell r="B502" t="str">
            <v>CT5308009</v>
          </cell>
          <cell r="C502" t="str">
            <v/>
          </cell>
          <cell r="D502" t="str">
            <v/>
          </cell>
          <cell r="E502" t="e">
            <v>#VALUE!</v>
          </cell>
          <cell r="F502" t="str">
            <v/>
          </cell>
          <cell r="G502" t="str">
            <v/>
          </cell>
          <cell r="H502" t="str">
            <v/>
          </cell>
          <cell r="I502" t="str">
            <v/>
          </cell>
          <cell r="J502" t="str">
            <v/>
          </cell>
        </row>
        <row r="503">
          <cell r="B503" t="str">
            <v>CT53080010</v>
          </cell>
          <cell r="C503" t="str">
            <v/>
          </cell>
          <cell r="D503" t="str">
            <v/>
          </cell>
          <cell r="E503" t="e">
            <v>#VALUE!</v>
          </cell>
          <cell r="F503" t="str">
            <v/>
          </cell>
          <cell r="G503" t="str">
            <v/>
          </cell>
          <cell r="H503" t="str">
            <v/>
          </cell>
          <cell r="I503" t="str">
            <v/>
          </cell>
          <cell r="J503" t="str">
            <v/>
          </cell>
        </row>
        <row r="504">
          <cell r="B504" t="str">
            <v>CT53080011</v>
          </cell>
          <cell r="C504" t="str">
            <v/>
          </cell>
          <cell r="D504" t="str">
            <v/>
          </cell>
          <cell r="E504" t="e">
            <v>#VALUE!</v>
          </cell>
          <cell r="F504" t="str">
            <v/>
          </cell>
          <cell r="G504" t="str">
            <v/>
          </cell>
          <cell r="H504" t="str">
            <v/>
          </cell>
          <cell r="I504" t="str">
            <v/>
          </cell>
          <cell r="J504" t="str">
            <v/>
          </cell>
        </row>
        <row r="505">
          <cell r="B505" t="str">
            <v>CT53080012</v>
          </cell>
          <cell r="C505" t="str">
            <v/>
          </cell>
          <cell r="D505" t="str">
            <v/>
          </cell>
          <cell r="E505" t="e">
            <v>#VALUE!</v>
          </cell>
          <cell r="F505" t="str">
            <v/>
          </cell>
          <cell r="G505" t="str">
            <v/>
          </cell>
          <cell r="H505" t="str">
            <v/>
          </cell>
          <cell r="I505" t="str">
            <v/>
          </cell>
          <cell r="J505" t="str">
            <v/>
          </cell>
        </row>
        <row r="506">
          <cell r="B506" t="str">
            <v>CT5307601</v>
          </cell>
          <cell r="C506">
            <v>16840</v>
          </cell>
          <cell r="D506">
            <v>1880</v>
          </cell>
          <cell r="E506">
            <v>18720</v>
          </cell>
          <cell r="F506">
            <v>10</v>
          </cell>
          <cell r="G506">
            <v>18730</v>
          </cell>
          <cell r="H506">
            <v>16840</v>
          </cell>
          <cell r="I506">
            <v>1880</v>
          </cell>
          <cell r="J506">
            <v>10</v>
          </cell>
        </row>
        <row r="507">
          <cell r="B507" t="str">
            <v>CT5307602</v>
          </cell>
          <cell r="C507">
            <v>16940</v>
          </cell>
          <cell r="D507">
            <v>2010</v>
          </cell>
          <cell r="E507">
            <v>18950</v>
          </cell>
          <cell r="F507">
            <v>10.6</v>
          </cell>
          <cell r="G507">
            <v>18830</v>
          </cell>
          <cell r="H507">
            <v>16890</v>
          </cell>
          <cell r="I507">
            <v>1940</v>
          </cell>
          <cell r="J507">
            <v>10.318829807003107</v>
          </cell>
        </row>
        <row r="508">
          <cell r="B508" t="str">
            <v>CT5307603</v>
          </cell>
          <cell r="C508">
            <v>16880</v>
          </cell>
          <cell r="D508">
            <v>1870</v>
          </cell>
          <cell r="E508">
            <v>18750</v>
          </cell>
          <cell r="F508">
            <v>10</v>
          </cell>
          <cell r="G508">
            <v>18810</v>
          </cell>
          <cell r="H508">
            <v>16890</v>
          </cell>
          <cell r="I508">
            <v>1920</v>
          </cell>
          <cell r="J508">
            <v>10.204732783834086</v>
          </cell>
        </row>
        <row r="509">
          <cell r="B509" t="str">
            <v>CT5307604</v>
          </cell>
          <cell r="C509">
            <v>16710</v>
          </cell>
          <cell r="D509">
            <v>1720</v>
          </cell>
          <cell r="E509">
            <v>18430</v>
          </cell>
          <cell r="F509">
            <v>9.3000000000000007</v>
          </cell>
          <cell r="G509">
            <v>18710</v>
          </cell>
          <cell r="H509">
            <v>16840</v>
          </cell>
          <cell r="I509">
            <v>1870</v>
          </cell>
          <cell r="J509">
            <v>9.993854046976459</v>
          </cell>
        </row>
        <row r="510">
          <cell r="B510" t="str">
            <v>CT5307605</v>
          </cell>
          <cell r="C510">
            <v>16810</v>
          </cell>
          <cell r="D510">
            <v>1730</v>
          </cell>
          <cell r="E510">
            <v>18540</v>
          </cell>
          <cell r="F510">
            <v>9.3000000000000007</v>
          </cell>
          <cell r="G510">
            <v>18680</v>
          </cell>
          <cell r="H510">
            <v>16830</v>
          </cell>
          <cell r="I510">
            <v>1840</v>
          </cell>
          <cell r="J510">
            <v>9.8589588442550085</v>
          </cell>
        </row>
        <row r="511">
          <cell r="B511" t="str">
            <v>CT5307606</v>
          </cell>
          <cell r="C511">
            <v>16790</v>
          </cell>
          <cell r="D511">
            <v>1920</v>
          </cell>
          <cell r="E511">
            <v>18710</v>
          </cell>
          <cell r="F511">
            <v>10.199999999999999</v>
          </cell>
          <cell r="G511">
            <v>18680</v>
          </cell>
          <cell r="H511">
            <v>16830</v>
          </cell>
          <cell r="I511">
            <v>1850</v>
          </cell>
          <cell r="J511">
            <v>9.923541534700723</v>
          </cell>
        </row>
        <row r="512">
          <cell r="B512" t="str">
            <v>CT5307607</v>
          </cell>
          <cell r="C512">
            <v>16780</v>
          </cell>
          <cell r="D512">
            <v>1930</v>
          </cell>
          <cell r="E512">
            <v>18710</v>
          </cell>
          <cell r="F512">
            <v>10.3</v>
          </cell>
          <cell r="G512">
            <v>18690</v>
          </cell>
          <cell r="H512">
            <v>16820</v>
          </cell>
          <cell r="I512">
            <v>1870</v>
          </cell>
          <cell r="J512">
            <v>9.9810394654352521</v>
          </cell>
        </row>
        <row r="513">
          <cell r="B513" t="str">
            <v>CT5307608</v>
          </cell>
          <cell r="C513" t="str">
            <v/>
          </cell>
          <cell r="D513" t="str">
            <v/>
          </cell>
          <cell r="E513" t="e">
            <v>#VALUE!</v>
          </cell>
          <cell r="F513" t="str">
            <v/>
          </cell>
          <cell r="G513" t="str">
            <v/>
          </cell>
          <cell r="H513" t="str">
            <v/>
          </cell>
          <cell r="I513" t="str">
            <v/>
          </cell>
          <cell r="J513" t="str">
            <v/>
          </cell>
        </row>
        <row r="514">
          <cell r="B514" t="str">
            <v>CT5307609</v>
          </cell>
          <cell r="C514" t="str">
            <v/>
          </cell>
          <cell r="D514" t="str">
            <v/>
          </cell>
          <cell r="E514" t="e">
            <v>#VALUE!</v>
          </cell>
          <cell r="F514" t="str">
            <v/>
          </cell>
          <cell r="G514" t="str">
            <v/>
          </cell>
          <cell r="H514" t="str">
            <v/>
          </cell>
          <cell r="I514" t="str">
            <v/>
          </cell>
          <cell r="J514" t="str">
            <v/>
          </cell>
        </row>
        <row r="515">
          <cell r="B515" t="str">
            <v>CT53076010</v>
          </cell>
          <cell r="C515" t="str">
            <v/>
          </cell>
          <cell r="D515" t="str">
            <v/>
          </cell>
          <cell r="E515" t="e">
            <v>#VALUE!</v>
          </cell>
          <cell r="F515" t="str">
            <v/>
          </cell>
          <cell r="G515" t="str">
            <v/>
          </cell>
          <cell r="H515" t="str">
            <v/>
          </cell>
          <cell r="I515" t="str">
            <v/>
          </cell>
          <cell r="J515" t="str">
            <v/>
          </cell>
        </row>
        <row r="516">
          <cell r="B516" t="str">
            <v>CT53076011</v>
          </cell>
          <cell r="C516" t="str">
            <v/>
          </cell>
          <cell r="D516" t="str">
            <v/>
          </cell>
          <cell r="E516" t="e">
            <v>#VALUE!</v>
          </cell>
          <cell r="F516" t="str">
            <v/>
          </cell>
          <cell r="G516" t="str">
            <v/>
          </cell>
          <cell r="H516" t="str">
            <v/>
          </cell>
          <cell r="I516" t="str">
            <v/>
          </cell>
          <cell r="J516" t="str">
            <v/>
          </cell>
        </row>
        <row r="517">
          <cell r="B517" t="str">
            <v>CT53076012</v>
          </cell>
          <cell r="C517" t="str">
            <v/>
          </cell>
          <cell r="D517" t="str">
            <v/>
          </cell>
          <cell r="E517" t="e">
            <v>#VALUE!</v>
          </cell>
          <cell r="F517" t="str">
            <v/>
          </cell>
          <cell r="G517" t="str">
            <v/>
          </cell>
          <cell r="H517" t="str">
            <v/>
          </cell>
          <cell r="I517" t="str">
            <v/>
          </cell>
          <cell r="J517" t="str">
            <v/>
          </cell>
        </row>
        <row r="518">
          <cell r="B518" t="str">
            <v>CT5307501</v>
          </cell>
          <cell r="C518">
            <v>29770</v>
          </cell>
          <cell r="D518">
            <v>2280</v>
          </cell>
          <cell r="E518">
            <v>32050</v>
          </cell>
          <cell r="F518">
            <v>7.1</v>
          </cell>
          <cell r="G518">
            <v>32050</v>
          </cell>
          <cell r="H518">
            <v>29770</v>
          </cell>
          <cell r="I518">
            <v>2280</v>
          </cell>
          <cell r="J518">
            <v>7.1</v>
          </cell>
        </row>
        <row r="519">
          <cell r="B519" t="str">
            <v>CT5307502</v>
          </cell>
          <cell r="C519">
            <v>29930</v>
          </cell>
          <cell r="D519">
            <v>2360</v>
          </cell>
          <cell r="E519">
            <v>32290</v>
          </cell>
          <cell r="F519">
            <v>7.3</v>
          </cell>
          <cell r="G519">
            <v>32170</v>
          </cell>
          <cell r="H519">
            <v>29850</v>
          </cell>
          <cell r="I519">
            <v>2320</v>
          </cell>
          <cell r="J519">
            <v>7.214460003419175</v>
          </cell>
        </row>
        <row r="520">
          <cell r="B520" t="str">
            <v>CT5307503</v>
          </cell>
          <cell r="C520">
            <v>29820</v>
          </cell>
          <cell r="D520">
            <v>2280</v>
          </cell>
          <cell r="E520">
            <v>32100</v>
          </cell>
          <cell r="F520">
            <v>7.1</v>
          </cell>
          <cell r="G520">
            <v>32150</v>
          </cell>
          <cell r="H520">
            <v>29840</v>
          </cell>
          <cell r="I520">
            <v>2310</v>
          </cell>
          <cell r="J520">
            <v>7.1731489066080485</v>
          </cell>
        </row>
        <row r="521">
          <cell r="B521" t="str">
            <v>CT5307504</v>
          </cell>
          <cell r="C521">
            <v>29530</v>
          </cell>
          <cell r="D521">
            <v>2040</v>
          </cell>
          <cell r="E521">
            <v>31570</v>
          </cell>
          <cell r="F521">
            <v>6.5</v>
          </cell>
          <cell r="G521">
            <v>32000</v>
          </cell>
          <cell r="H521">
            <v>29760</v>
          </cell>
          <cell r="I521">
            <v>2240</v>
          </cell>
          <cell r="J521">
            <v>6.9993984891923349</v>
          </cell>
        </row>
        <row r="522">
          <cell r="B522" t="str">
            <v>CT5307505</v>
          </cell>
          <cell r="C522">
            <v>29700</v>
          </cell>
          <cell r="D522">
            <v>2020</v>
          </cell>
          <cell r="E522">
            <v>31720</v>
          </cell>
          <cell r="F522">
            <v>6.4</v>
          </cell>
          <cell r="G522">
            <v>31950</v>
          </cell>
          <cell r="H522">
            <v>29750</v>
          </cell>
          <cell r="I522">
            <v>2200</v>
          </cell>
          <cell r="J522">
            <v>6.8752660706683688</v>
          </cell>
        </row>
        <row r="523">
          <cell r="B523" t="str">
            <v>CT5307506</v>
          </cell>
          <cell r="C523">
            <v>29680</v>
          </cell>
          <cell r="D523">
            <v>2320</v>
          </cell>
          <cell r="E523">
            <v>32000</v>
          </cell>
          <cell r="F523">
            <v>7.2</v>
          </cell>
          <cell r="G523">
            <v>31950</v>
          </cell>
          <cell r="H523">
            <v>29740</v>
          </cell>
          <cell r="I523">
            <v>2220</v>
          </cell>
          <cell r="J523">
            <v>6.9369829861364654</v>
          </cell>
        </row>
        <row r="524">
          <cell r="B524" t="str">
            <v>CT5307507</v>
          </cell>
          <cell r="C524">
            <v>29650</v>
          </cell>
          <cell r="D524">
            <v>2230</v>
          </cell>
          <cell r="E524">
            <v>31880</v>
          </cell>
          <cell r="F524">
            <v>7</v>
          </cell>
          <cell r="G524">
            <v>31940</v>
          </cell>
          <cell r="H524">
            <v>29730</v>
          </cell>
          <cell r="I524">
            <v>2220</v>
          </cell>
          <cell r="J524">
            <v>6.9464071695615619</v>
          </cell>
        </row>
        <row r="525">
          <cell r="B525" t="str">
            <v>CT5307508</v>
          </cell>
          <cell r="C525" t="str">
            <v/>
          </cell>
          <cell r="D525" t="str">
            <v/>
          </cell>
          <cell r="E525" t="e">
            <v>#VALUE!</v>
          </cell>
          <cell r="F525" t="str">
            <v/>
          </cell>
          <cell r="G525" t="str">
            <v/>
          </cell>
          <cell r="H525" t="str">
            <v/>
          </cell>
          <cell r="I525" t="str">
            <v/>
          </cell>
          <cell r="J525" t="str">
            <v/>
          </cell>
        </row>
        <row r="526">
          <cell r="B526" t="str">
            <v>CT5307509</v>
          </cell>
          <cell r="C526" t="str">
            <v/>
          </cell>
          <cell r="D526" t="str">
            <v/>
          </cell>
          <cell r="E526" t="e">
            <v>#VALUE!</v>
          </cell>
          <cell r="F526" t="str">
            <v/>
          </cell>
          <cell r="G526" t="str">
            <v/>
          </cell>
          <cell r="H526" t="str">
            <v/>
          </cell>
          <cell r="I526" t="str">
            <v/>
          </cell>
          <cell r="J526" t="str">
            <v/>
          </cell>
        </row>
        <row r="527">
          <cell r="B527" t="str">
            <v>CT53075010</v>
          </cell>
          <cell r="C527" t="str">
            <v/>
          </cell>
          <cell r="D527" t="str">
            <v/>
          </cell>
          <cell r="E527" t="e">
            <v>#VALUE!</v>
          </cell>
          <cell r="F527" t="str">
            <v/>
          </cell>
          <cell r="G527" t="str">
            <v/>
          </cell>
          <cell r="H527" t="str">
            <v/>
          </cell>
          <cell r="I527" t="str">
            <v/>
          </cell>
          <cell r="J527" t="str">
            <v/>
          </cell>
        </row>
        <row r="528">
          <cell r="B528" t="str">
            <v>CT53075011</v>
          </cell>
          <cell r="C528" t="str">
            <v/>
          </cell>
          <cell r="D528" t="str">
            <v/>
          </cell>
          <cell r="E528" t="e">
            <v>#VALUE!</v>
          </cell>
          <cell r="F528" t="str">
            <v/>
          </cell>
          <cell r="G528" t="str">
            <v/>
          </cell>
          <cell r="H528" t="str">
            <v/>
          </cell>
          <cell r="I528" t="str">
            <v/>
          </cell>
          <cell r="J528" t="str">
            <v/>
          </cell>
        </row>
        <row r="529">
          <cell r="B529" t="str">
            <v>CT53075012</v>
          </cell>
          <cell r="C529" t="str">
            <v/>
          </cell>
          <cell r="D529" t="str">
            <v/>
          </cell>
          <cell r="E529" t="e">
            <v>#VALUE!</v>
          </cell>
          <cell r="F529" t="str">
            <v/>
          </cell>
          <cell r="G529" t="str">
            <v/>
          </cell>
          <cell r="H529" t="str">
            <v/>
          </cell>
          <cell r="I529" t="str">
            <v/>
          </cell>
          <cell r="J529" t="str">
            <v/>
          </cell>
        </row>
        <row r="530">
          <cell r="B530" t="str">
            <v>CT5307001</v>
          </cell>
          <cell r="C530">
            <v>36480</v>
          </cell>
          <cell r="D530">
            <v>3920</v>
          </cell>
          <cell r="E530">
            <v>40400</v>
          </cell>
          <cell r="F530">
            <v>9.6999999999999993</v>
          </cell>
          <cell r="G530">
            <v>40400</v>
          </cell>
          <cell r="H530">
            <v>36480</v>
          </cell>
          <cell r="I530">
            <v>3920</v>
          </cell>
          <cell r="J530">
            <v>9.6999999999999993</v>
          </cell>
        </row>
        <row r="531">
          <cell r="B531" t="str">
            <v>CT5307002</v>
          </cell>
          <cell r="C531">
            <v>36890</v>
          </cell>
          <cell r="D531">
            <v>4100</v>
          </cell>
          <cell r="E531">
            <v>40990</v>
          </cell>
          <cell r="F531">
            <v>10</v>
          </cell>
          <cell r="G531">
            <v>40690</v>
          </cell>
          <cell r="H531">
            <v>36690</v>
          </cell>
          <cell r="I531">
            <v>4010</v>
          </cell>
          <cell r="J531">
            <v>9.8469024156488825</v>
          </cell>
        </row>
        <row r="532">
          <cell r="B532" t="str">
            <v>CT5307003</v>
          </cell>
          <cell r="C532">
            <v>36890</v>
          </cell>
          <cell r="D532">
            <v>4120</v>
          </cell>
          <cell r="E532">
            <v>41010</v>
          </cell>
          <cell r="F532">
            <v>10.1</v>
          </cell>
          <cell r="G532">
            <v>40800</v>
          </cell>
          <cell r="H532">
            <v>36750</v>
          </cell>
          <cell r="I532">
            <v>4050</v>
          </cell>
          <cell r="J532">
            <v>9.9161737311676852</v>
          </cell>
        </row>
        <row r="533">
          <cell r="B533" t="str">
            <v>CT5307004</v>
          </cell>
          <cell r="C533">
            <v>36780</v>
          </cell>
          <cell r="D533">
            <v>3910</v>
          </cell>
          <cell r="E533">
            <v>40690</v>
          </cell>
          <cell r="F533">
            <v>9.6</v>
          </cell>
          <cell r="G533">
            <v>40770</v>
          </cell>
          <cell r="H533">
            <v>36760</v>
          </cell>
          <cell r="I533">
            <v>4010</v>
          </cell>
          <cell r="J533">
            <v>9.8377543136749921</v>
          </cell>
        </row>
        <row r="534">
          <cell r="B534" t="str">
            <v>CT5307005</v>
          </cell>
          <cell r="C534">
            <v>37280</v>
          </cell>
          <cell r="D534">
            <v>4070</v>
          </cell>
          <cell r="E534">
            <v>41350</v>
          </cell>
          <cell r="F534">
            <v>9.8000000000000007</v>
          </cell>
          <cell r="G534">
            <v>40890</v>
          </cell>
          <cell r="H534">
            <v>36860</v>
          </cell>
          <cell r="I534">
            <v>4020</v>
          </cell>
          <cell r="J534">
            <v>9.8390165875038527</v>
          </cell>
        </row>
        <row r="535">
          <cell r="B535" t="str">
            <v>CT5307006</v>
          </cell>
          <cell r="C535">
            <v>39560</v>
          </cell>
          <cell r="D535">
            <v>4400</v>
          </cell>
          <cell r="E535">
            <v>43960</v>
          </cell>
          <cell r="F535">
            <v>10</v>
          </cell>
          <cell r="G535">
            <v>41400</v>
          </cell>
          <cell r="H535">
            <v>37310</v>
          </cell>
          <cell r="I535">
            <v>4090</v>
          </cell>
          <cell r="J535">
            <v>9.8707280054430324</v>
          </cell>
        </row>
        <row r="536">
          <cell r="B536" t="str">
            <v>CT5307007</v>
          </cell>
          <cell r="C536">
            <v>41210</v>
          </cell>
          <cell r="D536">
            <v>3780</v>
          </cell>
          <cell r="E536">
            <v>44990</v>
          </cell>
          <cell r="F536">
            <v>8.4</v>
          </cell>
          <cell r="G536">
            <v>41910</v>
          </cell>
          <cell r="H536">
            <v>37870</v>
          </cell>
          <cell r="I536">
            <v>4040</v>
          </cell>
          <cell r="J536">
            <v>9.6438066671211402</v>
          </cell>
        </row>
        <row r="537">
          <cell r="B537" t="str">
            <v>CT5307008</v>
          </cell>
          <cell r="C537" t="str">
            <v/>
          </cell>
          <cell r="D537" t="str">
            <v/>
          </cell>
          <cell r="E537" t="e">
            <v>#VALUE!</v>
          </cell>
          <cell r="F537" t="str">
            <v/>
          </cell>
          <cell r="G537" t="str">
            <v/>
          </cell>
          <cell r="H537" t="str">
            <v/>
          </cell>
          <cell r="I537" t="str">
            <v/>
          </cell>
          <cell r="J537" t="str">
            <v/>
          </cell>
        </row>
        <row r="538">
          <cell r="B538" t="str">
            <v>CT5307009</v>
          </cell>
          <cell r="C538" t="str">
            <v/>
          </cell>
          <cell r="D538" t="str">
            <v/>
          </cell>
          <cell r="E538" t="e">
            <v>#VALUE!</v>
          </cell>
          <cell r="F538" t="str">
            <v/>
          </cell>
          <cell r="G538" t="str">
            <v/>
          </cell>
          <cell r="H538" t="str">
            <v/>
          </cell>
          <cell r="I538" t="str">
            <v/>
          </cell>
          <cell r="J538" t="str">
            <v/>
          </cell>
        </row>
        <row r="539">
          <cell r="B539" t="str">
            <v>CT53070010</v>
          </cell>
          <cell r="C539" t="str">
            <v/>
          </cell>
          <cell r="D539" t="str">
            <v/>
          </cell>
          <cell r="E539" t="e">
            <v>#VALUE!</v>
          </cell>
          <cell r="F539" t="str">
            <v/>
          </cell>
          <cell r="G539" t="str">
            <v/>
          </cell>
          <cell r="H539" t="str">
            <v/>
          </cell>
          <cell r="I539" t="str">
            <v/>
          </cell>
          <cell r="J539" t="str">
            <v/>
          </cell>
        </row>
        <row r="540">
          <cell r="B540" t="str">
            <v>CT53070011</v>
          </cell>
          <cell r="C540" t="str">
            <v/>
          </cell>
          <cell r="D540" t="str">
            <v/>
          </cell>
          <cell r="E540" t="e">
            <v>#VALUE!</v>
          </cell>
          <cell r="F540" t="str">
            <v/>
          </cell>
          <cell r="G540" t="str">
            <v/>
          </cell>
          <cell r="H540" t="str">
            <v/>
          </cell>
          <cell r="I540" t="str">
            <v/>
          </cell>
          <cell r="J540" t="str">
            <v/>
          </cell>
        </row>
        <row r="541">
          <cell r="B541" t="str">
            <v>CT53070012</v>
          </cell>
          <cell r="C541" t="str">
            <v/>
          </cell>
          <cell r="D541" t="str">
            <v/>
          </cell>
          <cell r="E541" t="e">
            <v>#VALUE!</v>
          </cell>
          <cell r="F541" t="str">
            <v/>
          </cell>
          <cell r="G541" t="str">
            <v/>
          </cell>
          <cell r="H541" t="str">
            <v/>
          </cell>
          <cell r="I541" t="str">
            <v/>
          </cell>
          <cell r="J541" t="str">
            <v/>
          </cell>
        </row>
        <row r="542">
          <cell r="B542" t="str">
            <v>CT5306501</v>
          </cell>
          <cell r="C542">
            <v>13250</v>
          </cell>
          <cell r="D542">
            <v>1370</v>
          </cell>
          <cell r="E542">
            <v>14620</v>
          </cell>
          <cell r="F542">
            <v>9.4</v>
          </cell>
          <cell r="G542">
            <v>14620</v>
          </cell>
          <cell r="H542">
            <v>13250</v>
          </cell>
          <cell r="I542">
            <v>1370</v>
          </cell>
          <cell r="J542">
            <v>9.4</v>
          </cell>
        </row>
        <row r="543">
          <cell r="B543" t="str">
            <v>CT5306502</v>
          </cell>
          <cell r="C543">
            <v>13440</v>
          </cell>
          <cell r="D543">
            <v>1330</v>
          </cell>
          <cell r="E543">
            <v>14770</v>
          </cell>
          <cell r="F543">
            <v>9</v>
          </cell>
          <cell r="G543">
            <v>14700</v>
          </cell>
          <cell r="H543">
            <v>13350</v>
          </cell>
          <cell r="I543">
            <v>1350</v>
          </cell>
          <cell r="J543">
            <v>9.1827708219923796</v>
          </cell>
        </row>
        <row r="544">
          <cell r="B544" t="str">
            <v>CT5306503</v>
          </cell>
          <cell r="C544">
            <v>13670</v>
          </cell>
          <cell r="D544">
            <v>1350</v>
          </cell>
          <cell r="E544">
            <v>15020</v>
          </cell>
          <cell r="F544">
            <v>9</v>
          </cell>
          <cell r="G544">
            <v>14800</v>
          </cell>
          <cell r="H544">
            <v>13450</v>
          </cell>
          <cell r="I544">
            <v>1350</v>
          </cell>
          <cell r="J544">
            <v>9.1236602719985598</v>
          </cell>
        </row>
        <row r="545">
          <cell r="B545" t="str">
            <v>CT5306504</v>
          </cell>
          <cell r="C545">
            <v>13700</v>
          </cell>
          <cell r="D545">
            <v>1180</v>
          </cell>
          <cell r="E545">
            <v>14880</v>
          </cell>
          <cell r="F545">
            <v>7.9</v>
          </cell>
          <cell r="G545">
            <v>14820</v>
          </cell>
          <cell r="H545">
            <v>13520</v>
          </cell>
          <cell r="I545">
            <v>1310</v>
          </cell>
          <cell r="J545">
            <v>8.8269023205612509</v>
          </cell>
        </row>
        <row r="546">
          <cell r="B546" t="str">
            <v>CT5306505</v>
          </cell>
          <cell r="C546">
            <v>13910</v>
          </cell>
          <cell r="D546">
            <v>1240</v>
          </cell>
          <cell r="E546">
            <v>15150</v>
          </cell>
          <cell r="F546">
            <v>8.1999999999999993</v>
          </cell>
          <cell r="G546">
            <v>14890</v>
          </cell>
          <cell r="H546">
            <v>13590</v>
          </cell>
          <cell r="I546">
            <v>1300</v>
          </cell>
          <cell r="J546">
            <v>8.6976962858486129</v>
          </cell>
        </row>
        <row r="547">
          <cell r="B547" t="str">
            <v>CT5306506</v>
          </cell>
          <cell r="C547">
            <v>14170</v>
          </cell>
          <cell r="D547">
            <v>1230</v>
          </cell>
          <cell r="E547">
            <v>15400</v>
          </cell>
          <cell r="F547">
            <v>8</v>
          </cell>
          <cell r="G547">
            <v>14970</v>
          </cell>
          <cell r="H547">
            <v>13690</v>
          </cell>
          <cell r="I547">
            <v>1280</v>
          </cell>
          <cell r="J547">
            <v>8.572191858588333</v>
          </cell>
        </row>
        <row r="548">
          <cell r="B548" t="str">
            <v>CT5306507</v>
          </cell>
          <cell r="C548">
            <v>13950</v>
          </cell>
          <cell r="D548">
            <v>1130</v>
          </cell>
          <cell r="E548">
            <v>15080</v>
          </cell>
          <cell r="F548">
            <v>7.5</v>
          </cell>
          <cell r="G548">
            <v>14990</v>
          </cell>
          <cell r="H548">
            <v>13730</v>
          </cell>
          <cell r="I548">
            <v>1260</v>
          </cell>
          <cell r="J548">
            <v>8.4182433398465424</v>
          </cell>
        </row>
        <row r="549">
          <cell r="B549" t="str">
            <v>CT5306508</v>
          </cell>
          <cell r="C549" t="str">
            <v/>
          </cell>
          <cell r="D549" t="str">
            <v/>
          </cell>
          <cell r="E549" t="e">
            <v>#VALUE!</v>
          </cell>
          <cell r="F549" t="str">
            <v/>
          </cell>
          <cell r="G549" t="str">
            <v/>
          </cell>
          <cell r="H549" t="str">
            <v/>
          </cell>
          <cell r="I549" t="str">
            <v/>
          </cell>
          <cell r="J549" t="str">
            <v/>
          </cell>
        </row>
        <row r="550">
          <cell r="B550" t="str">
            <v>CT5306509</v>
          </cell>
          <cell r="C550" t="str">
            <v/>
          </cell>
          <cell r="D550" t="str">
            <v/>
          </cell>
          <cell r="E550" t="e">
            <v>#VALUE!</v>
          </cell>
          <cell r="F550" t="str">
            <v/>
          </cell>
          <cell r="G550" t="str">
            <v/>
          </cell>
          <cell r="H550" t="str">
            <v/>
          </cell>
          <cell r="I550" t="str">
            <v/>
          </cell>
          <cell r="J550" t="str">
            <v/>
          </cell>
        </row>
        <row r="551">
          <cell r="B551" t="str">
            <v>CT53065010</v>
          </cell>
          <cell r="C551" t="str">
            <v/>
          </cell>
          <cell r="D551" t="str">
            <v/>
          </cell>
          <cell r="E551" t="e">
            <v>#VALUE!</v>
          </cell>
          <cell r="F551" t="str">
            <v/>
          </cell>
          <cell r="G551" t="str">
            <v/>
          </cell>
          <cell r="H551" t="str">
            <v/>
          </cell>
          <cell r="I551" t="str">
            <v/>
          </cell>
          <cell r="J551" t="str">
            <v/>
          </cell>
        </row>
        <row r="552">
          <cell r="B552" t="str">
            <v>CT53065011</v>
          </cell>
          <cell r="C552" t="str">
            <v/>
          </cell>
          <cell r="D552" t="str">
            <v/>
          </cell>
          <cell r="E552" t="e">
            <v>#VALUE!</v>
          </cell>
          <cell r="F552" t="str">
            <v/>
          </cell>
          <cell r="G552" t="str">
            <v/>
          </cell>
          <cell r="H552" t="str">
            <v/>
          </cell>
          <cell r="I552" t="str">
            <v/>
          </cell>
          <cell r="J552" t="str">
            <v/>
          </cell>
        </row>
        <row r="553">
          <cell r="B553" t="str">
            <v>CT53065012</v>
          </cell>
          <cell r="C553" t="str">
            <v/>
          </cell>
          <cell r="D553" t="str">
            <v/>
          </cell>
          <cell r="E553" t="e">
            <v>#VALUE!</v>
          </cell>
          <cell r="F553" t="str">
            <v/>
          </cell>
          <cell r="G553" t="str">
            <v/>
          </cell>
          <cell r="H553" t="str">
            <v/>
          </cell>
          <cell r="I553" t="str">
            <v/>
          </cell>
          <cell r="J553" t="str">
            <v/>
          </cell>
        </row>
        <row r="554">
          <cell r="B554" t="str">
            <v>CT5306001</v>
          </cell>
          <cell r="C554">
            <v>72410</v>
          </cell>
          <cell r="D554">
            <v>11250</v>
          </cell>
          <cell r="E554">
            <v>83660</v>
          </cell>
          <cell r="F554">
            <v>13.4</v>
          </cell>
          <cell r="G554">
            <v>83660</v>
          </cell>
          <cell r="H554">
            <v>72410</v>
          </cell>
          <cell r="I554">
            <v>11250</v>
          </cell>
          <cell r="J554">
            <v>13.4</v>
          </cell>
        </row>
        <row r="555">
          <cell r="B555" t="str">
            <v>CT5306002</v>
          </cell>
          <cell r="C555">
            <v>72680</v>
          </cell>
          <cell r="D555">
            <v>11050</v>
          </cell>
          <cell r="E555">
            <v>83730</v>
          </cell>
          <cell r="F555">
            <v>13.2</v>
          </cell>
          <cell r="G555">
            <v>83690</v>
          </cell>
          <cell r="H555">
            <v>72550</v>
          </cell>
          <cell r="I555">
            <v>11150</v>
          </cell>
          <cell r="J555">
            <v>13.318318138912455</v>
          </cell>
        </row>
        <row r="556">
          <cell r="B556" t="str">
            <v>CT5306003</v>
          </cell>
          <cell r="C556">
            <v>72480</v>
          </cell>
          <cell r="D556">
            <v>11120</v>
          </cell>
          <cell r="E556">
            <v>83600</v>
          </cell>
          <cell r="F556">
            <v>13.3</v>
          </cell>
          <cell r="G556">
            <v>83660</v>
          </cell>
          <cell r="H556">
            <v>72520</v>
          </cell>
          <cell r="I556">
            <v>11140</v>
          </cell>
          <cell r="J556">
            <v>13.313093160574693</v>
          </cell>
        </row>
        <row r="557">
          <cell r="B557" t="str">
            <v>CT5306004</v>
          </cell>
          <cell r="C557">
            <v>72480</v>
          </cell>
          <cell r="D557">
            <v>11010</v>
          </cell>
          <cell r="E557">
            <v>83490</v>
          </cell>
          <cell r="F557">
            <v>13.2</v>
          </cell>
          <cell r="G557">
            <v>83620</v>
          </cell>
          <cell r="H557">
            <v>72510</v>
          </cell>
          <cell r="I557">
            <v>11110</v>
          </cell>
          <cell r="J557">
            <v>13.281450875105389</v>
          </cell>
        </row>
        <row r="558">
          <cell r="B558" t="str">
            <v>CT5306005</v>
          </cell>
          <cell r="C558">
            <v>72660</v>
          </cell>
          <cell r="D558">
            <v>11050</v>
          </cell>
          <cell r="E558">
            <v>83710</v>
          </cell>
          <cell r="F558">
            <v>13.2</v>
          </cell>
          <cell r="G558">
            <v>83640</v>
          </cell>
          <cell r="H558">
            <v>72540</v>
          </cell>
          <cell r="I558">
            <v>11090</v>
          </cell>
          <cell r="J558">
            <v>13.264320319860731</v>
          </cell>
        </row>
        <row r="559">
          <cell r="B559" t="str">
            <v>CT5306006</v>
          </cell>
          <cell r="C559">
            <v>71580</v>
          </cell>
          <cell r="D559">
            <v>10420</v>
          </cell>
          <cell r="E559">
            <v>82000</v>
          </cell>
          <cell r="F559">
            <v>12.7</v>
          </cell>
          <cell r="G559">
            <v>83360</v>
          </cell>
          <cell r="H559">
            <v>72380</v>
          </cell>
          <cell r="I559">
            <v>10980</v>
          </cell>
          <cell r="J559">
            <v>13.172310657405964</v>
          </cell>
        </row>
        <row r="560">
          <cell r="B560" t="str">
            <v>CT5306007</v>
          </cell>
          <cell r="C560">
            <v>70060</v>
          </cell>
          <cell r="D560">
            <v>7940</v>
          </cell>
          <cell r="E560">
            <v>78000</v>
          </cell>
          <cell r="F560">
            <v>10.199999999999999</v>
          </cell>
          <cell r="G560">
            <v>82600</v>
          </cell>
          <cell r="H560">
            <v>72050</v>
          </cell>
          <cell r="I560">
            <v>10550</v>
          </cell>
          <cell r="J560">
            <v>12.768128625638649</v>
          </cell>
        </row>
        <row r="561">
          <cell r="B561" t="str">
            <v>CT5306008</v>
          </cell>
          <cell r="C561" t="str">
            <v/>
          </cell>
          <cell r="D561" t="str">
            <v/>
          </cell>
          <cell r="E561" t="e">
            <v>#VALUE!</v>
          </cell>
          <cell r="F561" t="str">
            <v/>
          </cell>
          <cell r="G561" t="str">
            <v/>
          </cell>
          <cell r="H561" t="str">
            <v/>
          </cell>
          <cell r="I561" t="str">
            <v/>
          </cell>
          <cell r="J561" t="str">
            <v/>
          </cell>
        </row>
        <row r="562">
          <cell r="B562" t="str">
            <v>CT5306009</v>
          </cell>
          <cell r="C562" t="str">
            <v/>
          </cell>
          <cell r="D562" t="str">
            <v/>
          </cell>
          <cell r="E562" t="e">
            <v>#VALUE!</v>
          </cell>
          <cell r="F562" t="str">
            <v/>
          </cell>
          <cell r="G562" t="str">
            <v/>
          </cell>
          <cell r="H562" t="str">
            <v/>
          </cell>
          <cell r="I562" t="str">
            <v/>
          </cell>
          <cell r="J562" t="str">
            <v/>
          </cell>
        </row>
        <row r="563">
          <cell r="B563" t="str">
            <v>CT53060010</v>
          </cell>
          <cell r="C563" t="str">
            <v/>
          </cell>
          <cell r="D563" t="str">
            <v/>
          </cell>
          <cell r="E563" t="e">
            <v>#VALUE!</v>
          </cell>
          <cell r="F563" t="str">
            <v/>
          </cell>
          <cell r="G563" t="str">
            <v/>
          </cell>
          <cell r="H563" t="str">
            <v/>
          </cell>
          <cell r="I563" t="str">
            <v/>
          </cell>
          <cell r="J563" t="str">
            <v/>
          </cell>
        </row>
        <row r="564">
          <cell r="B564" t="str">
            <v>CT53060011</v>
          </cell>
          <cell r="C564" t="str">
            <v/>
          </cell>
          <cell r="D564" t="str">
            <v/>
          </cell>
          <cell r="E564" t="e">
            <v>#VALUE!</v>
          </cell>
          <cell r="F564" t="str">
            <v/>
          </cell>
          <cell r="G564" t="str">
            <v/>
          </cell>
          <cell r="H564" t="str">
            <v/>
          </cell>
          <cell r="I564" t="str">
            <v/>
          </cell>
          <cell r="J564" t="str">
            <v/>
          </cell>
        </row>
        <row r="565">
          <cell r="B565" t="str">
            <v>CT53060012</v>
          </cell>
          <cell r="C565" t="str">
            <v/>
          </cell>
          <cell r="D565" t="str">
            <v/>
          </cell>
          <cell r="E565" t="e">
            <v>#VALUE!</v>
          </cell>
          <cell r="F565" t="str">
            <v/>
          </cell>
          <cell r="G565" t="str">
            <v/>
          </cell>
          <cell r="H565" t="str">
            <v/>
          </cell>
          <cell r="I565" t="str">
            <v/>
          </cell>
          <cell r="J565" t="str">
            <v/>
          </cell>
        </row>
        <row r="566">
          <cell r="B566" t="str">
            <v>CT5304401</v>
          </cell>
          <cell r="C566">
            <v>42060</v>
          </cell>
          <cell r="D566">
            <v>5100</v>
          </cell>
          <cell r="E566">
            <v>47160</v>
          </cell>
          <cell r="F566">
            <v>10.8</v>
          </cell>
          <cell r="G566">
            <v>47150</v>
          </cell>
          <cell r="H566">
            <v>42060</v>
          </cell>
          <cell r="I566">
            <v>5100</v>
          </cell>
          <cell r="J566">
            <v>10.8</v>
          </cell>
        </row>
        <row r="567">
          <cell r="B567" t="str">
            <v>CT5304402</v>
          </cell>
          <cell r="C567">
            <v>42060</v>
          </cell>
          <cell r="D567">
            <v>5030</v>
          </cell>
          <cell r="E567">
            <v>47090</v>
          </cell>
          <cell r="F567">
            <v>10.7</v>
          </cell>
          <cell r="G567">
            <v>47120</v>
          </cell>
          <cell r="H567">
            <v>42060</v>
          </cell>
          <cell r="I567">
            <v>5060</v>
          </cell>
          <cell r="J567">
            <v>10.747405725441929</v>
          </cell>
        </row>
        <row r="568">
          <cell r="B568" t="str">
            <v>CT5304403</v>
          </cell>
          <cell r="C568">
            <v>42120</v>
          </cell>
          <cell r="D568">
            <v>4910</v>
          </cell>
          <cell r="E568">
            <v>47030</v>
          </cell>
          <cell r="F568">
            <v>10.4</v>
          </cell>
          <cell r="G568">
            <v>47090</v>
          </cell>
          <cell r="H568">
            <v>42080</v>
          </cell>
          <cell r="I568">
            <v>5010</v>
          </cell>
          <cell r="J568">
            <v>10.646129452403873</v>
          </cell>
        </row>
        <row r="569">
          <cell r="B569" t="str">
            <v>CT5304404</v>
          </cell>
          <cell r="C569">
            <v>42600</v>
          </cell>
          <cell r="D569">
            <v>4220</v>
          </cell>
          <cell r="E569">
            <v>46820</v>
          </cell>
          <cell r="F569">
            <v>9</v>
          </cell>
          <cell r="G569">
            <v>47020</v>
          </cell>
          <cell r="H569">
            <v>42210</v>
          </cell>
          <cell r="I569">
            <v>4820</v>
          </cell>
          <cell r="J569">
            <v>10.240883789919138</v>
          </cell>
        </row>
        <row r="570">
          <cell r="B570" t="str">
            <v>CT5304405</v>
          </cell>
          <cell r="C570">
            <v>42530</v>
          </cell>
          <cell r="D570">
            <v>4110</v>
          </cell>
          <cell r="E570">
            <v>46640</v>
          </cell>
          <cell r="F570">
            <v>8.8000000000000007</v>
          </cell>
          <cell r="G570">
            <v>46950</v>
          </cell>
          <cell r="H570">
            <v>42270</v>
          </cell>
          <cell r="I570">
            <v>4670</v>
          </cell>
          <cell r="J570">
            <v>9.9553101661916514</v>
          </cell>
        </row>
        <row r="571">
          <cell r="B571" t="str">
            <v>CT5304406</v>
          </cell>
          <cell r="C571">
            <v>41910</v>
          </cell>
          <cell r="D571">
            <v>4230</v>
          </cell>
          <cell r="E571">
            <v>46140</v>
          </cell>
          <cell r="F571">
            <v>9.1999999999999993</v>
          </cell>
          <cell r="G571">
            <v>46810</v>
          </cell>
          <cell r="H571">
            <v>42210</v>
          </cell>
          <cell r="I571">
            <v>4600</v>
          </cell>
          <cell r="J571">
            <v>9.8265751893217868</v>
          </cell>
        </row>
        <row r="572">
          <cell r="B572" t="str">
            <v>CT5304407</v>
          </cell>
          <cell r="C572">
            <v>42290</v>
          </cell>
          <cell r="D572">
            <v>3970</v>
          </cell>
          <cell r="E572">
            <v>46260</v>
          </cell>
          <cell r="F572">
            <v>8.6</v>
          </cell>
          <cell r="G572">
            <v>46730</v>
          </cell>
          <cell r="H572">
            <v>42220</v>
          </cell>
          <cell r="I572">
            <v>4510</v>
          </cell>
          <cell r="J572">
            <v>9.6510319866966654</v>
          </cell>
        </row>
        <row r="573">
          <cell r="B573" t="str">
            <v>CT5304408</v>
          </cell>
          <cell r="C573" t="str">
            <v/>
          </cell>
          <cell r="D573" t="str">
            <v/>
          </cell>
          <cell r="E573" t="e">
            <v>#VALUE!</v>
          </cell>
          <cell r="F573" t="str">
            <v/>
          </cell>
          <cell r="G573" t="str">
            <v/>
          </cell>
          <cell r="H573" t="str">
            <v/>
          </cell>
          <cell r="I573" t="str">
            <v/>
          </cell>
          <cell r="J573" t="str">
            <v/>
          </cell>
        </row>
        <row r="574">
          <cell r="B574" t="str">
            <v>CT5304409</v>
          </cell>
          <cell r="C574" t="str">
            <v/>
          </cell>
          <cell r="D574" t="str">
            <v/>
          </cell>
          <cell r="E574" t="e">
            <v>#VALUE!</v>
          </cell>
          <cell r="F574" t="str">
            <v/>
          </cell>
          <cell r="G574" t="str">
            <v/>
          </cell>
          <cell r="H574" t="str">
            <v/>
          </cell>
          <cell r="I574" t="str">
            <v/>
          </cell>
          <cell r="J574" t="str">
            <v/>
          </cell>
        </row>
        <row r="575">
          <cell r="B575" t="str">
            <v>CT53044010</v>
          </cell>
          <cell r="C575" t="str">
            <v/>
          </cell>
          <cell r="D575" t="str">
            <v/>
          </cell>
          <cell r="E575" t="e">
            <v>#VALUE!</v>
          </cell>
          <cell r="F575" t="str">
            <v/>
          </cell>
          <cell r="G575" t="str">
            <v/>
          </cell>
          <cell r="H575" t="str">
            <v/>
          </cell>
          <cell r="I575" t="str">
            <v/>
          </cell>
          <cell r="J575" t="str">
            <v/>
          </cell>
        </row>
        <row r="576">
          <cell r="B576" t="str">
            <v>CT53044011</v>
          </cell>
          <cell r="C576" t="str">
            <v/>
          </cell>
          <cell r="D576" t="str">
            <v/>
          </cell>
          <cell r="E576" t="e">
            <v>#VALUE!</v>
          </cell>
          <cell r="F576" t="str">
            <v/>
          </cell>
          <cell r="G576" t="str">
            <v/>
          </cell>
          <cell r="H576" t="str">
            <v/>
          </cell>
          <cell r="I576" t="str">
            <v/>
          </cell>
          <cell r="J576" t="str">
            <v/>
          </cell>
        </row>
        <row r="577">
          <cell r="B577" t="str">
            <v>CT53044012</v>
          </cell>
          <cell r="C577" t="str">
            <v/>
          </cell>
          <cell r="D577" t="str">
            <v/>
          </cell>
          <cell r="E577" t="e">
            <v>#VALUE!</v>
          </cell>
          <cell r="F577" t="str">
            <v/>
          </cell>
          <cell r="G577" t="str">
            <v/>
          </cell>
          <cell r="H577" t="str">
            <v/>
          </cell>
          <cell r="I577" t="str">
            <v/>
          </cell>
          <cell r="J577" t="str">
            <v/>
          </cell>
        </row>
        <row r="578">
          <cell r="B578" t="str">
            <v>CT5304201</v>
          </cell>
          <cell r="C578">
            <v>26260</v>
          </cell>
          <cell r="D578">
            <v>2420</v>
          </cell>
          <cell r="E578">
            <v>28680</v>
          </cell>
          <cell r="F578">
            <v>8.4</v>
          </cell>
          <cell r="G578">
            <v>28680</v>
          </cell>
          <cell r="H578">
            <v>26260</v>
          </cell>
          <cell r="I578">
            <v>2420</v>
          </cell>
          <cell r="J578">
            <v>8.4</v>
          </cell>
        </row>
        <row r="579">
          <cell r="B579" t="str">
            <v>CT5304202</v>
          </cell>
          <cell r="C579">
            <v>26410</v>
          </cell>
          <cell r="D579">
            <v>2550</v>
          </cell>
          <cell r="E579">
            <v>28960</v>
          </cell>
          <cell r="F579">
            <v>8.8000000000000007</v>
          </cell>
          <cell r="G579">
            <v>28820</v>
          </cell>
          <cell r="H579">
            <v>26330</v>
          </cell>
          <cell r="I579">
            <v>2490</v>
          </cell>
          <cell r="J579">
            <v>8.6314584128526306</v>
          </cell>
        </row>
        <row r="580">
          <cell r="B580" t="str">
            <v>CT5304203</v>
          </cell>
          <cell r="C580">
            <v>26310</v>
          </cell>
          <cell r="D580">
            <v>2490</v>
          </cell>
          <cell r="E580">
            <v>28800</v>
          </cell>
          <cell r="F580">
            <v>8.6</v>
          </cell>
          <cell r="G580">
            <v>28810</v>
          </cell>
          <cell r="H580">
            <v>26320</v>
          </cell>
          <cell r="I580">
            <v>2490</v>
          </cell>
          <cell r="J580">
            <v>8.6322195483154385</v>
          </cell>
        </row>
        <row r="581">
          <cell r="B581" t="str">
            <v>CT5304204</v>
          </cell>
          <cell r="C581">
            <v>26050</v>
          </cell>
          <cell r="D581">
            <v>2250</v>
          </cell>
          <cell r="E581">
            <v>28300</v>
          </cell>
          <cell r="F581">
            <v>8</v>
          </cell>
          <cell r="G581">
            <v>28680</v>
          </cell>
          <cell r="H581">
            <v>26250</v>
          </cell>
          <cell r="I581">
            <v>2430</v>
          </cell>
          <cell r="J581">
            <v>8.4660373575992125</v>
          </cell>
        </row>
        <row r="582">
          <cell r="B582" t="str">
            <v>CT5304205</v>
          </cell>
          <cell r="C582">
            <v>26200</v>
          </cell>
          <cell r="D582">
            <v>2190</v>
          </cell>
          <cell r="E582">
            <v>28390</v>
          </cell>
          <cell r="F582">
            <v>7.7</v>
          </cell>
          <cell r="G582">
            <v>28620</v>
          </cell>
          <cell r="H582">
            <v>26240</v>
          </cell>
          <cell r="I582">
            <v>2380</v>
          </cell>
          <cell r="J582">
            <v>8.3144669908882562</v>
          </cell>
        </row>
        <row r="583">
          <cell r="B583" t="str">
            <v>CT5304206</v>
          </cell>
          <cell r="C583">
            <v>26180</v>
          </cell>
          <cell r="D583">
            <v>2590</v>
          </cell>
          <cell r="E583">
            <v>28770</v>
          </cell>
          <cell r="F583">
            <v>9</v>
          </cell>
          <cell r="G583">
            <v>28650</v>
          </cell>
          <cell r="H583">
            <v>26230</v>
          </cell>
          <cell r="I583">
            <v>2410</v>
          </cell>
          <cell r="J583">
            <v>8.4281691451977014</v>
          </cell>
        </row>
        <row r="584">
          <cell r="B584" t="str">
            <v>CT5304207</v>
          </cell>
          <cell r="C584">
            <v>26160</v>
          </cell>
          <cell r="D584">
            <v>2560</v>
          </cell>
          <cell r="E584">
            <v>28720</v>
          </cell>
          <cell r="F584">
            <v>8.9</v>
          </cell>
          <cell r="G584">
            <v>28660</v>
          </cell>
          <cell r="H584">
            <v>26220</v>
          </cell>
          <cell r="I584">
            <v>2440</v>
          </cell>
          <cell r="J584">
            <v>8.4982601673031102</v>
          </cell>
        </row>
        <row r="585">
          <cell r="B585" t="str">
            <v>CT5304208</v>
          </cell>
          <cell r="C585" t="str">
            <v/>
          </cell>
          <cell r="D585" t="str">
            <v/>
          </cell>
          <cell r="E585" t="e">
            <v>#VALUE!</v>
          </cell>
          <cell r="F585" t="str">
            <v/>
          </cell>
          <cell r="G585" t="str">
            <v/>
          </cell>
          <cell r="H585" t="str">
            <v/>
          </cell>
          <cell r="I585" t="str">
            <v/>
          </cell>
          <cell r="J585" t="str">
            <v/>
          </cell>
        </row>
        <row r="586">
          <cell r="B586" t="str">
            <v>CT5304209</v>
          </cell>
          <cell r="C586" t="str">
            <v/>
          </cell>
          <cell r="D586" t="str">
            <v/>
          </cell>
          <cell r="E586" t="e">
            <v>#VALUE!</v>
          </cell>
          <cell r="F586" t="str">
            <v/>
          </cell>
          <cell r="G586" t="str">
            <v/>
          </cell>
          <cell r="H586" t="str">
            <v/>
          </cell>
          <cell r="I586" t="str">
            <v/>
          </cell>
          <cell r="J586" t="str">
            <v/>
          </cell>
        </row>
        <row r="587">
          <cell r="B587" t="str">
            <v>CT53042010</v>
          </cell>
          <cell r="C587" t="str">
            <v/>
          </cell>
          <cell r="D587" t="str">
            <v/>
          </cell>
          <cell r="E587" t="e">
            <v>#VALUE!</v>
          </cell>
          <cell r="F587" t="str">
            <v/>
          </cell>
          <cell r="G587" t="str">
            <v/>
          </cell>
          <cell r="H587" t="str">
            <v/>
          </cell>
          <cell r="I587" t="str">
            <v/>
          </cell>
          <cell r="J587" t="str">
            <v/>
          </cell>
        </row>
        <row r="588">
          <cell r="B588" t="str">
            <v>CT53042011</v>
          </cell>
          <cell r="C588" t="str">
            <v/>
          </cell>
          <cell r="D588" t="str">
            <v/>
          </cell>
          <cell r="E588" t="e">
            <v>#VALUE!</v>
          </cell>
          <cell r="F588" t="str">
            <v/>
          </cell>
          <cell r="G588" t="str">
            <v/>
          </cell>
          <cell r="H588" t="str">
            <v/>
          </cell>
          <cell r="I588" t="str">
            <v/>
          </cell>
          <cell r="J588" t="str">
            <v/>
          </cell>
        </row>
        <row r="589">
          <cell r="B589" t="str">
            <v>CT53042012</v>
          </cell>
          <cell r="C589" t="str">
            <v/>
          </cell>
          <cell r="D589" t="str">
            <v/>
          </cell>
          <cell r="E589" t="e">
            <v>#VALUE!</v>
          </cell>
          <cell r="F589" t="str">
            <v/>
          </cell>
          <cell r="G589" t="str">
            <v/>
          </cell>
          <cell r="H589" t="str">
            <v/>
          </cell>
          <cell r="I589" t="str">
            <v/>
          </cell>
          <cell r="J589" t="str">
            <v/>
          </cell>
        </row>
        <row r="590">
          <cell r="B590" t="str">
            <v>CT5304001</v>
          </cell>
          <cell r="C590">
            <v>24890</v>
          </cell>
          <cell r="D590">
            <v>1630</v>
          </cell>
          <cell r="E590">
            <v>26520</v>
          </cell>
          <cell r="F590">
            <v>6.1</v>
          </cell>
          <cell r="G590">
            <v>26520</v>
          </cell>
          <cell r="H590">
            <v>24890</v>
          </cell>
          <cell r="I590">
            <v>1630</v>
          </cell>
          <cell r="J590">
            <v>6.1</v>
          </cell>
        </row>
        <row r="591">
          <cell r="B591" t="str">
            <v>CT5304002</v>
          </cell>
          <cell r="C591">
            <v>24980</v>
          </cell>
          <cell r="D591">
            <v>1640</v>
          </cell>
          <cell r="E591">
            <v>26620</v>
          </cell>
          <cell r="F591">
            <v>6.2</v>
          </cell>
          <cell r="G591">
            <v>26570</v>
          </cell>
          <cell r="H591">
            <v>24930</v>
          </cell>
          <cell r="I591">
            <v>1630</v>
          </cell>
          <cell r="J591">
            <v>6.1502559470039149</v>
          </cell>
        </row>
        <row r="592">
          <cell r="B592" t="str">
            <v>CT5304003</v>
          </cell>
          <cell r="C592">
            <v>25310</v>
          </cell>
          <cell r="D592">
            <v>1710</v>
          </cell>
          <cell r="E592">
            <v>27020</v>
          </cell>
          <cell r="F592">
            <v>6.3</v>
          </cell>
          <cell r="G592">
            <v>26720</v>
          </cell>
          <cell r="H592">
            <v>25060</v>
          </cell>
          <cell r="I592">
            <v>1660</v>
          </cell>
          <cell r="J592">
            <v>6.2113273453093818</v>
          </cell>
        </row>
        <row r="593">
          <cell r="B593" t="str">
            <v>CT5304004</v>
          </cell>
          <cell r="C593">
            <v>25390</v>
          </cell>
          <cell r="D593">
            <v>1490</v>
          </cell>
          <cell r="E593">
            <v>26880</v>
          </cell>
          <cell r="F593">
            <v>5.5</v>
          </cell>
          <cell r="G593">
            <v>26760</v>
          </cell>
          <cell r="H593">
            <v>25140</v>
          </cell>
          <cell r="I593">
            <v>1620</v>
          </cell>
          <cell r="J593">
            <v>6.0451212107057772</v>
          </cell>
        </row>
        <row r="594">
          <cell r="B594" t="str">
            <v>CT5304005</v>
          </cell>
          <cell r="C594">
            <v>25520</v>
          </cell>
          <cell r="D594">
            <v>1600</v>
          </cell>
          <cell r="E594">
            <v>27120</v>
          </cell>
          <cell r="F594">
            <v>5.9</v>
          </cell>
          <cell r="G594">
            <v>26830</v>
          </cell>
          <cell r="H594">
            <v>25220</v>
          </cell>
          <cell r="I594">
            <v>1610</v>
          </cell>
          <cell r="J594">
            <v>6.0150712193376723</v>
          </cell>
        </row>
        <row r="595">
          <cell r="B595" t="str">
            <v>CT5304006</v>
          </cell>
          <cell r="C595">
            <v>26450</v>
          </cell>
          <cell r="D595">
            <v>1720</v>
          </cell>
          <cell r="E595">
            <v>28170</v>
          </cell>
          <cell r="F595">
            <v>6.1</v>
          </cell>
          <cell r="G595">
            <v>27060</v>
          </cell>
          <cell r="H595">
            <v>25420</v>
          </cell>
          <cell r="I595">
            <v>1630</v>
          </cell>
          <cell r="J595">
            <v>6.0283491341871338</v>
          </cell>
        </row>
        <row r="596">
          <cell r="B596" t="str">
            <v>CT5304007</v>
          </cell>
          <cell r="C596">
            <v>25890</v>
          </cell>
          <cell r="D596">
            <v>1660</v>
          </cell>
          <cell r="E596">
            <v>27550</v>
          </cell>
          <cell r="F596">
            <v>6</v>
          </cell>
          <cell r="G596">
            <v>27130</v>
          </cell>
          <cell r="H596">
            <v>25490</v>
          </cell>
          <cell r="I596">
            <v>1630</v>
          </cell>
          <cell r="J596">
            <v>6.0270913648907705</v>
          </cell>
        </row>
        <row r="597">
          <cell r="B597" t="str">
            <v>CT5304008</v>
          </cell>
          <cell r="C597" t="str">
            <v/>
          </cell>
          <cell r="D597" t="str">
            <v/>
          </cell>
          <cell r="E597" t="e">
            <v>#VALUE!</v>
          </cell>
          <cell r="F597" t="str">
            <v/>
          </cell>
          <cell r="G597" t="str">
            <v/>
          </cell>
          <cell r="H597" t="str">
            <v/>
          </cell>
          <cell r="I597" t="str">
            <v/>
          </cell>
          <cell r="J597" t="str">
            <v/>
          </cell>
        </row>
        <row r="598">
          <cell r="B598" t="str">
            <v>CT5304009</v>
          </cell>
          <cell r="C598" t="str">
            <v/>
          </cell>
          <cell r="D598" t="str">
            <v/>
          </cell>
          <cell r="E598" t="e">
            <v>#VALUE!</v>
          </cell>
          <cell r="F598" t="str">
            <v/>
          </cell>
          <cell r="G598" t="str">
            <v/>
          </cell>
          <cell r="H598" t="str">
            <v/>
          </cell>
          <cell r="I598" t="str">
            <v/>
          </cell>
          <cell r="J598" t="str">
            <v/>
          </cell>
        </row>
        <row r="599">
          <cell r="B599" t="str">
            <v>CT53040010</v>
          </cell>
          <cell r="C599" t="str">
            <v/>
          </cell>
          <cell r="D599" t="str">
            <v/>
          </cell>
          <cell r="E599" t="e">
            <v>#VALUE!</v>
          </cell>
          <cell r="F599" t="str">
            <v/>
          </cell>
          <cell r="G599" t="str">
            <v/>
          </cell>
          <cell r="H599" t="str">
            <v/>
          </cell>
          <cell r="I599" t="str">
            <v/>
          </cell>
          <cell r="J599" t="str">
            <v/>
          </cell>
        </row>
        <row r="600">
          <cell r="B600" t="str">
            <v>CT53040011</v>
          </cell>
          <cell r="C600" t="str">
            <v/>
          </cell>
          <cell r="D600" t="str">
            <v/>
          </cell>
          <cell r="E600" t="e">
            <v>#VALUE!</v>
          </cell>
          <cell r="F600" t="str">
            <v/>
          </cell>
          <cell r="G600" t="str">
            <v/>
          </cell>
          <cell r="H600" t="str">
            <v/>
          </cell>
          <cell r="I600" t="str">
            <v/>
          </cell>
          <cell r="J600" t="str">
            <v/>
          </cell>
        </row>
        <row r="601">
          <cell r="B601" t="str">
            <v>CT53040012</v>
          </cell>
          <cell r="C601" t="str">
            <v/>
          </cell>
          <cell r="D601" t="str">
            <v/>
          </cell>
          <cell r="E601" t="e">
            <v>#VALUE!</v>
          </cell>
          <cell r="F601" t="str">
            <v/>
          </cell>
          <cell r="G601" t="str">
            <v/>
          </cell>
          <cell r="H601" t="str">
            <v/>
          </cell>
          <cell r="I601" t="str">
            <v/>
          </cell>
          <cell r="J601" t="str">
            <v/>
          </cell>
        </row>
        <row r="602">
          <cell r="B602" t="str">
            <v>CT5303801</v>
          </cell>
          <cell r="C602">
            <v>18070</v>
          </cell>
          <cell r="D602">
            <v>1830</v>
          </cell>
          <cell r="E602">
            <v>19900</v>
          </cell>
          <cell r="F602">
            <v>9.1999999999999993</v>
          </cell>
          <cell r="G602">
            <v>19890</v>
          </cell>
          <cell r="H602">
            <v>18070</v>
          </cell>
          <cell r="I602">
            <v>1830</v>
          </cell>
          <cell r="J602">
            <v>9.1999999999999993</v>
          </cell>
        </row>
        <row r="603">
          <cell r="B603" t="str">
            <v>CT5303802</v>
          </cell>
          <cell r="C603">
            <v>17940</v>
          </cell>
          <cell r="D603">
            <v>1900</v>
          </cell>
          <cell r="E603">
            <v>19840</v>
          </cell>
          <cell r="F603">
            <v>9.6</v>
          </cell>
          <cell r="G603">
            <v>19870</v>
          </cell>
          <cell r="H603">
            <v>18000</v>
          </cell>
          <cell r="I603">
            <v>1860</v>
          </cell>
          <cell r="J603">
            <v>9.3707525799144218</v>
          </cell>
        </row>
        <row r="604">
          <cell r="B604" t="str">
            <v>CT5303803</v>
          </cell>
          <cell r="C604">
            <v>17970</v>
          </cell>
          <cell r="D604">
            <v>1950</v>
          </cell>
          <cell r="E604">
            <v>19920</v>
          </cell>
          <cell r="F604">
            <v>9.8000000000000007</v>
          </cell>
          <cell r="G604">
            <v>19880</v>
          </cell>
          <cell r="H604">
            <v>17990</v>
          </cell>
          <cell r="I604">
            <v>1890</v>
          </cell>
          <cell r="J604">
            <v>9.5153476052371282</v>
          </cell>
        </row>
        <row r="605">
          <cell r="B605" t="str">
            <v>CT5303804</v>
          </cell>
          <cell r="C605">
            <v>17940</v>
          </cell>
          <cell r="D605">
            <v>1720</v>
          </cell>
          <cell r="E605">
            <v>19660</v>
          </cell>
          <cell r="F605">
            <v>8.6999999999999993</v>
          </cell>
          <cell r="G605">
            <v>19830</v>
          </cell>
          <cell r="H605">
            <v>17980</v>
          </cell>
          <cell r="I605">
            <v>1850</v>
          </cell>
          <cell r="J605">
            <v>9.3234978879011408</v>
          </cell>
        </row>
        <row r="606">
          <cell r="B606" t="str">
            <v>CT5303805</v>
          </cell>
          <cell r="C606">
            <v>18120</v>
          </cell>
          <cell r="D606">
            <v>1770</v>
          </cell>
          <cell r="E606">
            <v>19890</v>
          </cell>
          <cell r="F606">
            <v>8.9</v>
          </cell>
          <cell r="G606">
            <v>19840</v>
          </cell>
          <cell r="H606">
            <v>18010</v>
          </cell>
          <cell r="I606">
            <v>1830</v>
          </cell>
          <cell r="J606">
            <v>9.2337006381627358</v>
          </cell>
        </row>
        <row r="607">
          <cell r="B607" t="str">
            <v>CT5303806</v>
          </cell>
          <cell r="C607">
            <v>17760</v>
          </cell>
          <cell r="D607">
            <v>1750</v>
          </cell>
          <cell r="E607">
            <v>19510</v>
          </cell>
          <cell r="F607">
            <v>9</v>
          </cell>
          <cell r="G607">
            <v>19780</v>
          </cell>
          <cell r="H607">
            <v>17970</v>
          </cell>
          <cell r="I607">
            <v>1820</v>
          </cell>
          <cell r="J607">
            <v>9.1908512699549298</v>
          </cell>
        </row>
        <row r="608">
          <cell r="B608" t="str">
            <v>CT5303807</v>
          </cell>
          <cell r="C608">
            <v>17490</v>
          </cell>
          <cell r="D608">
            <v>1690</v>
          </cell>
          <cell r="E608">
            <v>19180</v>
          </cell>
          <cell r="F608">
            <v>8.8000000000000007</v>
          </cell>
          <cell r="G608">
            <v>19700</v>
          </cell>
          <cell r="H608">
            <v>17900</v>
          </cell>
          <cell r="I608">
            <v>1800</v>
          </cell>
          <cell r="J608">
            <v>9.1366656029706128</v>
          </cell>
        </row>
        <row r="609">
          <cell r="B609" t="str">
            <v>CT5303808</v>
          </cell>
          <cell r="C609" t="str">
            <v/>
          </cell>
          <cell r="D609" t="str">
            <v/>
          </cell>
          <cell r="E609" t="e">
            <v>#VALUE!</v>
          </cell>
          <cell r="F609" t="str">
            <v/>
          </cell>
          <cell r="G609" t="str">
            <v/>
          </cell>
          <cell r="H609" t="str">
            <v/>
          </cell>
          <cell r="I609" t="str">
            <v/>
          </cell>
          <cell r="J609" t="str">
            <v/>
          </cell>
        </row>
        <row r="610">
          <cell r="B610" t="str">
            <v>CT5303809</v>
          </cell>
          <cell r="C610" t="str">
            <v/>
          </cell>
          <cell r="D610" t="str">
            <v/>
          </cell>
          <cell r="E610" t="e">
            <v>#VALUE!</v>
          </cell>
          <cell r="F610" t="str">
            <v/>
          </cell>
          <cell r="G610" t="str">
            <v/>
          </cell>
          <cell r="H610" t="str">
            <v/>
          </cell>
          <cell r="I610" t="str">
            <v/>
          </cell>
          <cell r="J610" t="str">
            <v/>
          </cell>
        </row>
        <row r="611">
          <cell r="B611" t="str">
            <v>CT53038010</v>
          </cell>
          <cell r="C611" t="str">
            <v/>
          </cell>
          <cell r="D611" t="str">
            <v/>
          </cell>
          <cell r="E611" t="e">
            <v>#VALUE!</v>
          </cell>
          <cell r="F611" t="str">
            <v/>
          </cell>
          <cell r="G611" t="str">
            <v/>
          </cell>
          <cell r="H611" t="str">
            <v/>
          </cell>
          <cell r="I611" t="str">
            <v/>
          </cell>
          <cell r="J611" t="str">
            <v/>
          </cell>
        </row>
        <row r="612">
          <cell r="B612" t="str">
            <v>CT53038011</v>
          </cell>
          <cell r="C612" t="str">
            <v/>
          </cell>
          <cell r="D612" t="str">
            <v/>
          </cell>
          <cell r="E612" t="e">
            <v>#VALUE!</v>
          </cell>
          <cell r="F612" t="str">
            <v/>
          </cell>
          <cell r="G612" t="str">
            <v/>
          </cell>
          <cell r="H612" t="str">
            <v/>
          </cell>
          <cell r="I612" t="str">
            <v/>
          </cell>
          <cell r="J612" t="str">
            <v/>
          </cell>
        </row>
        <row r="613">
          <cell r="B613" t="str">
            <v>CT53038012</v>
          </cell>
          <cell r="C613" t="str">
            <v/>
          </cell>
          <cell r="D613" t="str">
            <v/>
          </cell>
          <cell r="E613" t="e">
            <v>#VALUE!</v>
          </cell>
          <cell r="F613" t="str">
            <v/>
          </cell>
          <cell r="G613" t="str">
            <v/>
          </cell>
          <cell r="H613" t="str">
            <v/>
          </cell>
          <cell r="I613" t="str">
            <v/>
          </cell>
          <cell r="J613" t="str">
            <v/>
          </cell>
        </row>
        <row r="614">
          <cell r="B614" t="str">
            <v>CT5303501</v>
          </cell>
          <cell r="C614">
            <v>33600</v>
          </cell>
          <cell r="D614">
            <v>3240</v>
          </cell>
          <cell r="E614">
            <v>36840</v>
          </cell>
          <cell r="F614">
            <v>8.8000000000000007</v>
          </cell>
          <cell r="G614">
            <v>36840</v>
          </cell>
          <cell r="H614">
            <v>33600</v>
          </cell>
          <cell r="I614">
            <v>3240</v>
          </cell>
          <cell r="J614">
            <v>8.8000000000000007</v>
          </cell>
        </row>
        <row r="615">
          <cell r="B615" t="str">
            <v>CT5303502</v>
          </cell>
          <cell r="C615">
            <v>33790</v>
          </cell>
          <cell r="D615">
            <v>3400</v>
          </cell>
          <cell r="E615">
            <v>37190</v>
          </cell>
          <cell r="F615">
            <v>9.1999999999999993</v>
          </cell>
          <cell r="G615">
            <v>37010</v>
          </cell>
          <cell r="H615">
            <v>33690</v>
          </cell>
          <cell r="I615">
            <v>3320</v>
          </cell>
          <cell r="J615">
            <v>8.967119660659769</v>
          </cell>
        </row>
        <row r="616">
          <cell r="B616" t="str">
            <v>CT5303503</v>
          </cell>
          <cell r="C616">
            <v>33660</v>
          </cell>
          <cell r="D616">
            <v>3260</v>
          </cell>
          <cell r="E616">
            <v>36920</v>
          </cell>
          <cell r="F616">
            <v>8.8000000000000007</v>
          </cell>
          <cell r="G616">
            <v>36980</v>
          </cell>
          <cell r="H616">
            <v>33680</v>
          </cell>
          <cell r="I616">
            <v>3300</v>
          </cell>
          <cell r="J616">
            <v>8.9219565393732374</v>
          </cell>
        </row>
        <row r="617">
          <cell r="B617" t="str">
            <v>CT5303504</v>
          </cell>
          <cell r="C617">
            <v>33330</v>
          </cell>
          <cell r="D617">
            <v>3050</v>
          </cell>
          <cell r="E617">
            <v>36380</v>
          </cell>
          <cell r="F617">
            <v>8.4</v>
          </cell>
          <cell r="G617">
            <v>36830</v>
          </cell>
          <cell r="H617">
            <v>33600</v>
          </cell>
          <cell r="I617">
            <v>3240</v>
          </cell>
          <cell r="J617">
            <v>8.7910297830749613</v>
          </cell>
        </row>
        <row r="618">
          <cell r="B618" t="str">
            <v>CT5303505</v>
          </cell>
          <cell r="C618">
            <v>33520</v>
          </cell>
          <cell r="D618">
            <v>2940</v>
          </cell>
          <cell r="E618">
            <v>36460</v>
          </cell>
          <cell r="F618">
            <v>8.1</v>
          </cell>
          <cell r="G618">
            <v>36760</v>
          </cell>
          <cell r="H618">
            <v>33580</v>
          </cell>
          <cell r="I618">
            <v>3180</v>
          </cell>
          <cell r="J618">
            <v>8.6441046846944882</v>
          </cell>
        </row>
        <row r="619">
          <cell r="B619" t="str">
            <v>CT5303506</v>
          </cell>
          <cell r="C619">
            <v>33500</v>
          </cell>
          <cell r="D619">
            <v>3330</v>
          </cell>
          <cell r="E619">
            <v>36830</v>
          </cell>
          <cell r="F619">
            <v>9</v>
          </cell>
          <cell r="G619">
            <v>36770</v>
          </cell>
          <cell r="H619">
            <v>33570</v>
          </cell>
          <cell r="I619">
            <v>3200</v>
          </cell>
          <cell r="J619">
            <v>8.7113983836387607</v>
          </cell>
        </row>
        <row r="620">
          <cell r="B620" t="str">
            <v>CT5303507</v>
          </cell>
          <cell r="C620">
            <v>33470</v>
          </cell>
          <cell r="D620">
            <v>3220</v>
          </cell>
          <cell r="E620">
            <v>36690</v>
          </cell>
          <cell r="F620">
            <v>8.8000000000000007</v>
          </cell>
          <cell r="G620">
            <v>36760</v>
          </cell>
          <cell r="H620">
            <v>33550</v>
          </cell>
          <cell r="I620">
            <v>3210</v>
          </cell>
          <cell r="J620">
            <v>8.7209641251248495</v>
          </cell>
        </row>
        <row r="621">
          <cell r="B621" t="str">
            <v>CT5303508</v>
          </cell>
          <cell r="C621" t="str">
            <v/>
          </cell>
          <cell r="D621" t="str">
            <v/>
          </cell>
          <cell r="E621" t="e">
            <v>#VALUE!</v>
          </cell>
          <cell r="F621" t="str">
            <v/>
          </cell>
          <cell r="G621" t="str">
            <v/>
          </cell>
          <cell r="H621" t="str">
            <v/>
          </cell>
          <cell r="I621" t="str">
            <v/>
          </cell>
          <cell r="J621" t="str">
            <v/>
          </cell>
        </row>
        <row r="622">
          <cell r="B622" t="str">
            <v>CT5303509</v>
          </cell>
          <cell r="C622" t="str">
            <v/>
          </cell>
          <cell r="D622" t="str">
            <v/>
          </cell>
          <cell r="E622" t="e">
            <v>#VALUE!</v>
          </cell>
          <cell r="F622" t="str">
            <v/>
          </cell>
          <cell r="G622" t="str">
            <v/>
          </cell>
          <cell r="H622" t="str">
            <v/>
          </cell>
          <cell r="I622" t="str">
            <v/>
          </cell>
          <cell r="J622" t="str">
            <v/>
          </cell>
        </row>
        <row r="623">
          <cell r="B623" t="str">
            <v>CT53035010</v>
          </cell>
          <cell r="C623" t="str">
            <v/>
          </cell>
          <cell r="D623" t="str">
            <v/>
          </cell>
          <cell r="E623" t="e">
            <v>#VALUE!</v>
          </cell>
          <cell r="F623" t="str">
            <v/>
          </cell>
          <cell r="G623" t="str">
            <v/>
          </cell>
          <cell r="H623" t="str">
            <v/>
          </cell>
          <cell r="I623" t="str">
            <v/>
          </cell>
          <cell r="J623" t="str">
            <v/>
          </cell>
        </row>
        <row r="624">
          <cell r="B624" t="str">
            <v>CT53035011</v>
          </cell>
          <cell r="C624" t="str">
            <v/>
          </cell>
          <cell r="D624" t="str">
            <v/>
          </cell>
          <cell r="E624" t="e">
            <v>#VALUE!</v>
          </cell>
          <cell r="F624" t="str">
            <v/>
          </cell>
          <cell r="G624" t="str">
            <v/>
          </cell>
          <cell r="H624" t="str">
            <v/>
          </cell>
          <cell r="I624" t="str">
            <v/>
          </cell>
          <cell r="J624" t="str">
            <v/>
          </cell>
        </row>
        <row r="625">
          <cell r="B625" t="str">
            <v>CT53035012</v>
          </cell>
          <cell r="C625" t="str">
            <v/>
          </cell>
          <cell r="D625" t="str">
            <v/>
          </cell>
          <cell r="E625" t="e">
            <v>#VALUE!</v>
          </cell>
          <cell r="F625" t="str">
            <v/>
          </cell>
          <cell r="G625" t="str">
            <v/>
          </cell>
          <cell r="H625" t="str">
            <v/>
          </cell>
          <cell r="I625" t="str">
            <v/>
          </cell>
          <cell r="J625" t="str">
            <v/>
          </cell>
        </row>
        <row r="626">
          <cell r="B626" t="str">
            <v>CT5303301</v>
          </cell>
          <cell r="C626">
            <v>13220</v>
          </cell>
          <cell r="D626">
            <v>830</v>
          </cell>
          <cell r="E626">
            <v>14050</v>
          </cell>
          <cell r="F626">
            <v>5.9</v>
          </cell>
          <cell r="G626">
            <v>14050</v>
          </cell>
          <cell r="H626">
            <v>13220</v>
          </cell>
          <cell r="I626">
            <v>830</v>
          </cell>
          <cell r="J626">
            <v>5.9</v>
          </cell>
        </row>
        <row r="627">
          <cell r="B627" t="str">
            <v>CT5303302</v>
          </cell>
          <cell r="C627">
            <v>13790</v>
          </cell>
          <cell r="D627">
            <v>900</v>
          </cell>
          <cell r="E627">
            <v>14690</v>
          </cell>
          <cell r="F627">
            <v>6.1</v>
          </cell>
          <cell r="G627">
            <v>14370</v>
          </cell>
          <cell r="H627">
            <v>13500</v>
          </cell>
          <cell r="I627">
            <v>860</v>
          </cell>
          <cell r="J627">
            <v>6.0139908815647516</v>
          </cell>
        </row>
        <row r="628">
          <cell r="B628" t="str">
            <v>CT5303303</v>
          </cell>
          <cell r="C628">
            <v>13980</v>
          </cell>
          <cell r="D628">
            <v>1000</v>
          </cell>
          <cell r="E628">
            <v>14980</v>
          </cell>
          <cell r="F628">
            <v>6.7</v>
          </cell>
          <cell r="G628">
            <v>14570</v>
          </cell>
          <cell r="H628">
            <v>13660</v>
          </cell>
          <cell r="I628">
            <v>910</v>
          </cell>
          <cell r="J628">
            <v>6.2475693729554136</v>
          </cell>
        </row>
        <row r="629">
          <cell r="B629" t="str">
            <v>CT5303304</v>
          </cell>
          <cell r="C629">
            <v>14070</v>
          </cell>
          <cell r="D629">
            <v>780</v>
          </cell>
          <cell r="E629">
            <v>14850</v>
          </cell>
          <cell r="F629">
            <v>5.2</v>
          </cell>
          <cell r="G629">
            <v>14640</v>
          </cell>
          <cell r="H629">
            <v>13760</v>
          </cell>
          <cell r="I629">
            <v>880</v>
          </cell>
          <cell r="J629">
            <v>5.9868173901164576</v>
          </cell>
        </row>
        <row r="630">
          <cell r="B630" t="str">
            <v>CT5303305</v>
          </cell>
          <cell r="C630">
            <v>14200</v>
          </cell>
          <cell r="D630">
            <v>900</v>
          </cell>
          <cell r="E630">
            <v>15100</v>
          </cell>
          <cell r="F630">
            <v>6</v>
          </cell>
          <cell r="G630">
            <v>14730</v>
          </cell>
          <cell r="H630">
            <v>13850</v>
          </cell>
          <cell r="I630">
            <v>880</v>
          </cell>
          <cell r="J630">
            <v>5.9800168336455704</v>
          </cell>
        </row>
        <row r="631">
          <cell r="B631" t="str">
            <v>CT5303306</v>
          </cell>
          <cell r="C631">
            <v>12250</v>
          </cell>
          <cell r="D631">
            <v>950</v>
          </cell>
          <cell r="E631">
            <v>13200</v>
          </cell>
          <cell r="F631">
            <v>7.2</v>
          </cell>
          <cell r="G631">
            <v>14480</v>
          </cell>
          <cell r="H631">
            <v>13580</v>
          </cell>
          <cell r="I631">
            <v>890</v>
          </cell>
          <cell r="J631">
            <v>6.1617103581666841</v>
          </cell>
        </row>
        <row r="632">
          <cell r="B632" t="str">
            <v>CT5303307</v>
          </cell>
          <cell r="C632">
            <v>11800</v>
          </cell>
          <cell r="D632">
            <v>1020</v>
          </cell>
          <cell r="E632">
            <v>12820</v>
          </cell>
          <cell r="F632">
            <v>8</v>
          </cell>
          <cell r="G632">
            <v>14240</v>
          </cell>
          <cell r="H632">
            <v>13330</v>
          </cell>
          <cell r="I632">
            <v>910</v>
          </cell>
          <cell r="J632">
            <v>6.3956579752600895</v>
          </cell>
        </row>
        <row r="633">
          <cell r="B633" t="str">
            <v>CT5303308</v>
          </cell>
          <cell r="C633" t="str">
            <v/>
          </cell>
          <cell r="D633" t="str">
            <v/>
          </cell>
          <cell r="E633" t="e">
            <v>#VALUE!</v>
          </cell>
          <cell r="F633" t="str">
            <v/>
          </cell>
          <cell r="G633" t="str">
            <v/>
          </cell>
          <cell r="H633" t="str">
            <v/>
          </cell>
          <cell r="I633" t="str">
            <v/>
          </cell>
          <cell r="J633" t="str">
            <v/>
          </cell>
        </row>
        <row r="634">
          <cell r="B634" t="str">
            <v>CT5303309</v>
          </cell>
          <cell r="C634" t="str">
            <v/>
          </cell>
          <cell r="D634" t="str">
            <v/>
          </cell>
          <cell r="E634" t="e">
            <v>#VALUE!</v>
          </cell>
          <cell r="F634" t="str">
            <v/>
          </cell>
          <cell r="G634" t="str">
            <v/>
          </cell>
          <cell r="H634" t="str">
            <v/>
          </cell>
          <cell r="I634" t="str">
            <v/>
          </cell>
          <cell r="J634" t="str">
            <v/>
          </cell>
        </row>
        <row r="635">
          <cell r="B635" t="str">
            <v>CT53033010</v>
          </cell>
          <cell r="C635" t="str">
            <v/>
          </cell>
          <cell r="D635" t="str">
            <v/>
          </cell>
          <cell r="E635" t="e">
            <v>#VALUE!</v>
          </cell>
          <cell r="F635" t="str">
            <v/>
          </cell>
          <cell r="G635" t="str">
            <v/>
          </cell>
          <cell r="H635" t="str">
            <v/>
          </cell>
          <cell r="I635" t="str">
            <v/>
          </cell>
          <cell r="J635" t="str">
            <v/>
          </cell>
        </row>
        <row r="636">
          <cell r="B636" t="str">
            <v>CT53033011</v>
          </cell>
          <cell r="C636" t="str">
            <v/>
          </cell>
          <cell r="D636" t="str">
            <v/>
          </cell>
          <cell r="E636" t="e">
            <v>#VALUE!</v>
          </cell>
          <cell r="F636" t="str">
            <v/>
          </cell>
          <cell r="G636" t="str">
            <v/>
          </cell>
          <cell r="H636" t="str">
            <v/>
          </cell>
          <cell r="I636" t="str">
            <v/>
          </cell>
          <cell r="J636" t="str">
            <v/>
          </cell>
        </row>
        <row r="637">
          <cell r="B637" t="str">
            <v>CT53033012</v>
          </cell>
          <cell r="C637" t="str">
            <v/>
          </cell>
          <cell r="D637" t="str">
            <v/>
          </cell>
          <cell r="E637" t="e">
            <v>#VALUE!</v>
          </cell>
          <cell r="F637" t="str">
            <v/>
          </cell>
          <cell r="G637" t="str">
            <v/>
          </cell>
          <cell r="H637" t="str">
            <v/>
          </cell>
          <cell r="I637" t="str">
            <v/>
          </cell>
          <cell r="J637" t="str">
            <v/>
          </cell>
        </row>
        <row r="638">
          <cell r="B638" t="str">
            <v>CT5303201</v>
          </cell>
          <cell r="C638">
            <v>24820</v>
          </cell>
          <cell r="D638">
            <v>2780</v>
          </cell>
          <cell r="E638">
            <v>27600</v>
          </cell>
          <cell r="F638">
            <v>10.1</v>
          </cell>
          <cell r="G638">
            <v>27600</v>
          </cell>
          <cell r="H638">
            <v>24820</v>
          </cell>
          <cell r="I638">
            <v>2780</v>
          </cell>
          <cell r="J638">
            <v>10.1</v>
          </cell>
        </row>
        <row r="639">
          <cell r="B639" t="str">
            <v>CT5303202</v>
          </cell>
          <cell r="C639">
            <v>24910</v>
          </cell>
          <cell r="D639">
            <v>2590</v>
          </cell>
          <cell r="E639">
            <v>27500</v>
          </cell>
          <cell r="F639">
            <v>9.4</v>
          </cell>
          <cell r="G639">
            <v>27550</v>
          </cell>
          <cell r="H639">
            <v>24870</v>
          </cell>
          <cell r="I639">
            <v>2680</v>
          </cell>
          <cell r="J639">
            <v>9.7391872515744957</v>
          </cell>
        </row>
        <row r="640">
          <cell r="B640" t="str">
            <v>CT5303203</v>
          </cell>
          <cell r="C640">
            <v>25240</v>
          </cell>
          <cell r="D640">
            <v>2470</v>
          </cell>
          <cell r="E640">
            <v>27710</v>
          </cell>
          <cell r="F640">
            <v>8.9</v>
          </cell>
          <cell r="G640">
            <v>27600</v>
          </cell>
          <cell r="H640">
            <v>24990</v>
          </cell>
          <cell r="I640">
            <v>2610</v>
          </cell>
          <cell r="J640">
            <v>9.4669983336150896</v>
          </cell>
        </row>
        <row r="641">
          <cell r="B641" t="str">
            <v>CT5303204</v>
          </cell>
          <cell r="C641">
            <v>25320</v>
          </cell>
          <cell r="D641">
            <v>2210</v>
          </cell>
          <cell r="E641">
            <v>27530</v>
          </cell>
          <cell r="F641">
            <v>8</v>
          </cell>
          <cell r="G641">
            <v>27590</v>
          </cell>
          <cell r="H641">
            <v>25070</v>
          </cell>
          <cell r="I641">
            <v>2510</v>
          </cell>
          <cell r="J641">
            <v>9.1044208007830196</v>
          </cell>
        </row>
        <row r="642">
          <cell r="B642" t="str">
            <v>CT5303205</v>
          </cell>
          <cell r="C642">
            <v>25450</v>
          </cell>
          <cell r="D642">
            <v>2200</v>
          </cell>
          <cell r="E642">
            <v>27650</v>
          </cell>
          <cell r="F642">
            <v>8</v>
          </cell>
          <cell r="G642">
            <v>27600</v>
          </cell>
          <cell r="H642">
            <v>25150</v>
          </cell>
          <cell r="I642">
            <v>2450</v>
          </cell>
          <cell r="J642">
            <v>8.8758125412158595</v>
          </cell>
        </row>
        <row r="643">
          <cell r="B643" t="str">
            <v>CT5303206</v>
          </cell>
          <cell r="C643">
            <v>26380</v>
          </cell>
          <cell r="D643">
            <v>2170</v>
          </cell>
          <cell r="E643">
            <v>28550</v>
          </cell>
          <cell r="F643">
            <v>7.6</v>
          </cell>
          <cell r="G643">
            <v>27760</v>
          </cell>
          <cell r="H643">
            <v>25350</v>
          </cell>
          <cell r="I643">
            <v>2400</v>
          </cell>
          <cell r="J643">
            <v>8.6544292928383122</v>
          </cell>
        </row>
        <row r="644">
          <cell r="B644" t="str">
            <v>CT5303207</v>
          </cell>
          <cell r="C644">
            <v>25810</v>
          </cell>
          <cell r="D644">
            <v>2200</v>
          </cell>
          <cell r="E644">
            <v>28010</v>
          </cell>
          <cell r="F644">
            <v>7.9</v>
          </cell>
          <cell r="G644">
            <v>27790</v>
          </cell>
          <cell r="H644">
            <v>25420</v>
          </cell>
          <cell r="I644">
            <v>2370</v>
          </cell>
          <cell r="J644">
            <v>8.5395753342276919</v>
          </cell>
        </row>
        <row r="645">
          <cell r="B645" t="str">
            <v>CT5303208</v>
          </cell>
          <cell r="C645" t="str">
            <v/>
          </cell>
          <cell r="D645" t="str">
            <v/>
          </cell>
          <cell r="E645" t="e">
            <v>#VALUE!</v>
          </cell>
          <cell r="F645" t="str">
            <v/>
          </cell>
          <cell r="G645" t="str">
            <v/>
          </cell>
          <cell r="H645" t="str">
            <v/>
          </cell>
          <cell r="I645" t="str">
            <v/>
          </cell>
          <cell r="J645" t="str">
            <v/>
          </cell>
        </row>
        <row r="646">
          <cell r="B646" t="str">
            <v>CT5303209</v>
          </cell>
          <cell r="C646" t="str">
            <v/>
          </cell>
          <cell r="D646" t="str">
            <v/>
          </cell>
          <cell r="E646" t="e">
            <v>#VALUE!</v>
          </cell>
          <cell r="F646" t="str">
            <v/>
          </cell>
          <cell r="G646" t="str">
            <v/>
          </cell>
          <cell r="H646" t="str">
            <v/>
          </cell>
          <cell r="I646" t="str">
            <v/>
          </cell>
          <cell r="J646" t="str">
            <v/>
          </cell>
        </row>
        <row r="647">
          <cell r="B647" t="str">
            <v>CT53032010</v>
          </cell>
          <cell r="C647" t="str">
            <v/>
          </cell>
          <cell r="D647" t="str">
            <v/>
          </cell>
          <cell r="E647" t="e">
            <v>#VALUE!</v>
          </cell>
          <cell r="F647" t="str">
            <v/>
          </cell>
          <cell r="G647" t="str">
            <v/>
          </cell>
          <cell r="H647" t="str">
            <v/>
          </cell>
          <cell r="I647" t="str">
            <v/>
          </cell>
          <cell r="J647" t="str">
            <v/>
          </cell>
        </row>
        <row r="648">
          <cell r="B648" t="str">
            <v>CT53032011</v>
          </cell>
          <cell r="C648" t="str">
            <v/>
          </cell>
          <cell r="D648" t="str">
            <v/>
          </cell>
          <cell r="E648" t="e">
            <v>#VALUE!</v>
          </cell>
          <cell r="F648" t="str">
            <v/>
          </cell>
          <cell r="G648" t="str">
            <v/>
          </cell>
          <cell r="H648" t="str">
            <v/>
          </cell>
          <cell r="I648" t="str">
            <v/>
          </cell>
          <cell r="J648" t="str">
            <v/>
          </cell>
        </row>
        <row r="649">
          <cell r="B649" t="str">
            <v>CT53032012</v>
          </cell>
          <cell r="C649" t="str">
            <v/>
          </cell>
          <cell r="D649" t="str">
            <v/>
          </cell>
          <cell r="E649" t="e">
            <v>#VALUE!</v>
          </cell>
          <cell r="F649" t="str">
            <v/>
          </cell>
          <cell r="G649" t="str">
            <v/>
          </cell>
          <cell r="H649" t="str">
            <v/>
          </cell>
          <cell r="I649" t="str">
            <v/>
          </cell>
          <cell r="J649" t="str">
            <v/>
          </cell>
        </row>
        <row r="650">
          <cell r="B650" t="str">
            <v>CT5303001</v>
          </cell>
          <cell r="C650">
            <v>23000</v>
          </cell>
          <cell r="D650">
            <v>1940</v>
          </cell>
          <cell r="E650">
            <v>24940</v>
          </cell>
          <cell r="F650">
            <v>7.8</v>
          </cell>
          <cell r="G650">
            <v>24950</v>
          </cell>
          <cell r="H650">
            <v>23000</v>
          </cell>
          <cell r="I650">
            <v>1940</v>
          </cell>
          <cell r="J650">
            <v>7.8</v>
          </cell>
        </row>
        <row r="651">
          <cell r="B651" t="str">
            <v>CT5303002</v>
          </cell>
          <cell r="C651">
            <v>23020</v>
          </cell>
          <cell r="D651">
            <v>1990</v>
          </cell>
          <cell r="E651">
            <v>25010</v>
          </cell>
          <cell r="F651">
            <v>8</v>
          </cell>
          <cell r="G651">
            <v>24980</v>
          </cell>
          <cell r="H651">
            <v>23010</v>
          </cell>
          <cell r="I651">
            <v>1970</v>
          </cell>
          <cell r="J651">
            <v>7.8761433918456403</v>
          </cell>
        </row>
        <row r="652">
          <cell r="B652" t="str">
            <v>CT5303003</v>
          </cell>
          <cell r="C652">
            <v>23280</v>
          </cell>
          <cell r="D652">
            <v>2060</v>
          </cell>
          <cell r="E652">
            <v>25340</v>
          </cell>
          <cell r="F652">
            <v>8.1</v>
          </cell>
          <cell r="G652">
            <v>25100</v>
          </cell>
          <cell r="H652">
            <v>23100</v>
          </cell>
          <cell r="I652">
            <v>2000</v>
          </cell>
          <cell r="J652">
            <v>7.9643549629472234</v>
          </cell>
        </row>
        <row r="653">
          <cell r="B653" t="str">
            <v>CT5303004</v>
          </cell>
          <cell r="C653">
            <v>23280</v>
          </cell>
          <cell r="D653">
            <v>1850</v>
          </cell>
          <cell r="E653">
            <v>25130</v>
          </cell>
          <cell r="F653">
            <v>7.4</v>
          </cell>
          <cell r="G653">
            <v>25110</v>
          </cell>
          <cell r="H653">
            <v>23140</v>
          </cell>
          <cell r="I653">
            <v>1960</v>
          </cell>
          <cell r="J653">
            <v>7.8109596407197559</v>
          </cell>
        </row>
        <row r="654">
          <cell r="B654" t="str">
            <v>CT5303005</v>
          </cell>
          <cell r="C654">
            <v>23260</v>
          </cell>
          <cell r="D654">
            <v>1910</v>
          </cell>
          <cell r="E654">
            <v>25170</v>
          </cell>
          <cell r="F654">
            <v>7.6</v>
          </cell>
          <cell r="G654">
            <v>25120</v>
          </cell>
          <cell r="H654">
            <v>23170</v>
          </cell>
          <cell r="I654">
            <v>1950</v>
          </cell>
          <cell r="J654">
            <v>7.768683217351148</v>
          </cell>
        </row>
        <row r="655">
          <cell r="B655" t="str">
            <v>CT5303006</v>
          </cell>
          <cell r="C655">
            <v>22690</v>
          </cell>
          <cell r="D655">
            <v>1960</v>
          </cell>
          <cell r="E655">
            <v>24650</v>
          </cell>
          <cell r="F655">
            <v>8</v>
          </cell>
          <cell r="G655">
            <v>25040</v>
          </cell>
          <cell r="H655">
            <v>23090</v>
          </cell>
          <cell r="I655">
            <v>1950</v>
          </cell>
          <cell r="J655">
            <v>7.8005404470002526</v>
          </cell>
        </row>
        <row r="656">
          <cell r="B656" t="str">
            <v>CT5303007</v>
          </cell>
          <cell r="C656">
            <v>22420</v>
          </cell>
          <cell r="D656">
            <v>1890</v>
          </cell>
          <cell r="E656">
            <v>24310</v>
          </cell>
          <cell r="F656">
            <v>7.8</v>
          </cell>
          <cell r="G656">
            <v>24940</v>
          </cell>
          <cell r="H656">
            <v>22990</v>
          </cell>
          <cell r="I656">
            <v>1940</v>
          </cell>
          <cell r="J656">
            <v>7.7978024999713567</v>
          </cell>
        </row>
        <row r="657">
          <cell r="B657" t="str">
            <v>CT5303008</v>
          </cell>
          <cell r="C657" t="str">
            <v/>
          </cell>
          <cell r="D657" t="str">
            <v/>
          </cell>
          <cell r="E657" t="e">
            <v>#VALUE!</v>
          </cell>
          <cell r="F657" t="str">
            <v/>
          </cell>
          <cell r="G657" t="str">
            <v/>
          </cell>
          <cell r="H657" t="str">
            <v/>
          </cell>
          <cell r="I657" t="str">
            <v/>
          </cell>
          <cell r="J657" t="str">
            <v/>
          </cell>
        </row>
        <row r="658">
          <cell r="B658" t="str">
            <v>CT5303009</v>
          </cell>
          <cell r="C658" t="str">
            <v/>
          </cell>
          <cell r="D658" t="str">
            <v/>
          </cell>
          <cell r="E658" t="e">
            <v>#VALUE!</v>
          </cell>
          <cell r="F658" t="str">
            <v/>
          </cell>
          <cell r="G658" t="str">
            <v/>
          </cell>
          <cell r="H658" t="str">
            <v/>
          </cell>
          <cell r="I658" t="str">
            <v/>
          </cell>
          <cell r="J658" t="str">
            <v/>
          </cell>
        </row>
        <row r="659">
          <cell r="B659" t="str">
            <v>CT53030010</v>
          </cell>
          <cell r="C659" t="str">
            <v/>
          </cell>
          <cell r="D659" t="str">
            <v/>
          </cell>
          <cell r="E659" t="e">
            <v>#VALUE!</v>
          </cell>
          <cell r="F659" t="str">
            <v/>
          </cell>
          <cell r="G659" t="str">
            <v/>
          </cell>
          <cell r="H659" t="str">
            <v/>
          </cell>
          <cell r="I659" t="str">
            <v/>
          </cell>
          <cell r="J659" t="str">
            <v/>
          </cell>
        </row>
        <row r="660">
          <cell r="B660" t="str">
            <v>CT53030011</v>
          </cell>
          <cell r="C660" t="str">
            <v/>
          </cell>
          <cell r="D660" t="str">
            <v/>
          </cell>
          <cell r="E660" t="e">
            <v>#VALUE!</v>
          </cell>
          <cell r="F660" t="str">
            <v/>
          </cell>
          <cell r="G660" t="str">
            <v/>
          </cell>
          <cell r="H660" t="str">
            <v/>
          </cell>
          <cell r="I660" t="str">
            <v/>
          </cell>
          <cell r="J660" t="str">
            <v/>
          </cell>
        </row>
        <row r="661">
          <cell r="B661" t="str">
            <v>CT53030012</v>
          </cell>
          <cell r="C661" t="str">
            <v/>
          </cell>
          <cell r="D661" t="str">
            <v/>
          </cell>
          <cell r="E661" t="e">
            <v>#VALUE!</v>
          </cell>
          <cell r="F661" t="str">
            <v/>
          </cell>
          <cell r="G661" t="str">
            <v/>
          </cell>
          <cell r="H661" t="str">
            <v/>
          </cell>
          <cell r="I661" t="str">
            <v/>
          </cell>
          <cell r="J661" t="str">
            <v/>
          </cell>
        </row>
        <row r="662">
          <cell r="B662" t="str">
            <v>CT5302901</v>
          </cell>
          <cell r="C662">
            <v>29090</v>
          </cell>
          <cell r="D662">
            <v>2340</v>
          </cell>
          <cell r="E662">
            <v>31430</v>
          </cell>
          <cell r="F662">
            <v>7.4</v>
          </cell>
          <cell r="G662">
            <v>31440</v>
          </cell>
          <cell r="H662">
            <v>29090</v>
          </cell>
          <cell r="I662">
            <v>2340</v>
          </cell>
          <cell r="J662">
            <v>7.4</v>
          </cell>
        </row>
        <row r="663">
          <cell r="B663" t="str">
            <v>CT5302902</v>
          </cell>
          <cell r="C663">
            <v>29260</v>
          </cell>
          <cell r="D663">
            <v>2350</v>
          </cell>
          <cell r="E663">
            <v>31610</v>
          </cell>
          <cell r="F663">
            <v>7.4</v>
          </cell>
          <cell r="G663">
            <v>31520</v>
          </cell>
          <cell r="H663">
            <v>29180</v>
          </cell>
          <cell r="I663">
            <v>2350</v>
          </cell>
          <cell r="J663">
            <v>7.444007359939091</v>
          </cell>
        </row>
        <row r="664">
          <cell r="B664" t="str">
            <v>CT5302903</v>
          </cell>
          <cell r="C664">
            <v>29150</v>
          </cell>
          <cell r="D664">
            <v>2310</v>
          </cell>
          <cell r="E664">
            <v>31460</v>
          </cell>
          <cell r="F664">
            <v>7.4</v>
          </cell>
          <cell r="G664">
            <v>31500</v>
          </cell>
          <cell r="H664">
            <v>29170</v>
          </cell>
          <cell r="I664">
            <v>2340</v>
          </cell>
          <cell r="J664">
            <v>7.4132859289357294</v>
          </cell>
        </row>
        <row r="665">
          <cell r="B665" t="str">
            <v>CT5302904</v>
          </cell>
          <cell r="C665">
            <v>28860</v>
          </cell>
          <cell r="D665">
            <v>2100</v>
          </cell>
          <cell r="E665">
            <v>30960</v>
          </cell>
          <cell r="F665">
            <v>6.8</v>
          </cell>
          <cell r="G665">
            <v>31370</v>
          </cell>
          <cell r="H665">
            <v>29090</v>
          </cell>
          <cell r="I665">
            <v>2280</v>
          </cell>
          <cell r="J665">
            <v>7.257119628894575</v>
          </cell>
        </row>
        <row r="666">
          <cell r="B666" t="str">
            <v>CT5302905</v>
          </cell>
          <cell r="C666">
            <v>29030</v>
          </cell>
          <cell r="D666">
            <v>2160</v>
          </cell>
          <cell r="E666">
            <v>31190</v>
          </cell>
          <cell r="F666">
            <v>6.9</v>
          </cell>
          <cell r="G666">
            <v>31330</v>
          </cell>
          <cell r="H666">
            <v>29080</v>
          </cell>
          <cell r="I666">
            <v>2250</v>
          </cell>
          <cell r="J666">
            <v>7.1888206529371956</v>
          </cell>
        </row>
        <row r="667">
          <cell r="B667" t="str">
            <v>CT5302906</v>
          </cell>
          <cell r="C667">
            <v>29010</v>
          </cell>
          <cell r="D667">
            <v>2600</v>
          </cell>
          <cell r="E667">
            <v>31610</v>
          </cell>
          <cell r="F667">
            <v>8.1999999999999993</v>
          </cell>
          <cell r="G667">
            <v>31380</v>
          </cell>
          <cell r="H667">
            <v>29070</v>
          </cell>
          <cell r="I667">
            <v>2310</v>
          </cell>
          <cell r="J667">
            <v>7.3650102254920196</v>
          </cell>
        </row>
        <row r="668">
          <cell r="B668" t="str">
            <v>CT5302907</v>
          </cell>
          <cell r="C668">
            <v>28980</v>
          </cell>
          <cell r="D668">
            <v>2470</v>
          </cell>
          <cell r="E668">
            <v>31450</v>
          </cell>
          <cell r="F668">
            <v>7.8</v>
          </cell>
          <cell r="G668">
            <v>31390</v>
          </cell>
          <cell r="H668">
            <v>29050</v>
          </cell>
          <cell r="I668">
            <v>2330</v>
          </cell>
          <cell r="J668">
            <v>7.433216660673728</v>
          </cell>
        </row>
        <row r="669">
          <cell r="B669" t="str">
            <v>CT5302908</v>
          </cell>
          <cell r="C669" t="str">
            <v/>
          </cell>
          <cell r="D669" t="str">
            <v/>
          </cell>
          <cell r="E669" t="e">
            <v>#VALUE!</v>
          </cell>
          <cell r="F669" t="str">
            <v/>
          </cell>
          <cell r="G669" t="str">
            <v/>
          </cell>
          <cell r="H669" t="str">
            <v/>
          </cell>
          <cell r="I669" t="str">
            <v/>
          </cell>
          <cell r="J669" t="str">
            <v/>
          </cell>
        </row>
        <row r="670">
          <cell r="B670" t="str">
            <v>CT5302909</v>
          </cell>
          <cell r="C670" t="str">
            <v/>
          </cell>
          <cell r="D670" t="str">
            <v/>
          </cell>
          <cell r="E670" t="e">
            <v>#VALUE!</v>
          </cell>
          <cell r="F670" t="str">
            <v/>
          </cell>
          <cell r="G670" t="str">
            <v/>
          </cell>
          <cell r="H670" t="str">
            <v/>
          </cell>
          <cell r="I670" t="str">
            <v/>
          </cell>
          <cell r="J670" t="str">
            <v/>
          </cell>
        </row>
        <row r="671">
          <cell r="B671" t="str">
            <v>CT53029010</v>
          </cell>
          <cell r="C671" t="str">
            <v/>
          </cell>
          <cell r="D671" t="str">
            <v/>
          </cell>
          <cell r="E671" t="e">
            <v>#VALUE!</v>
          </cell>
          <cell r="F671" t="str">
            <v/>
          </cell>
          <cell r="G671" t="str">
            <v/>
          </cell>
          <cell r="H671" t="str">
            <v/>
          </cell>
          <cell r="I671" t="str">
            <v/>
          </cell>
          <cell r="J671" t="str">
            <v/>
          </cell>
        </row>
        <row r="672">
          <cell r="B672" t="str">
            <v>CT53029011</v>
          </cell>
          <cell r="C672" t="str">
            <v/>
          </cell>
          <cell r="D672" t="str">
            <v/>
          </cell>
          <cell r="E672" t="e">
            <v>#VALUE!</v>
          </cell>
          <cell r="F672" t="str">
            <v/>
          </cell>
          <cell r="G672" t="str">
            <v/>
          </cell>
          <cell r="H672" t="str">
            <v/>
          </cell>
          <cell r="I672" t="str">
            <v/>
          </cell>
          <cell r="J672" t="str">
            <v/>
          </cell>
        </row>
        <row r="673">
          <cell r="B673" t="str">
            <v>CT53029012</v>
          </cell>
          <cell r="C673" t="str">
            <v/>
          </cell>
          <cell r="D673" t="str">
            <v/>
          </cell>
          <cell r="E673" t="e">
            <v>#VALUE!</v>
          </cell>
          <cell r="F673" t="str">
            <v/>
          </cell>
          <cell r="G673" t="str">
            <v/>
          </cell>
          <cell r="H673" t="str">
            <v/>
          </cell>
          <cell r="I673" t="str">
            <v/>
          </cell>
          <cell r="J673" t="str">
            <v/>
          </cell>
        </row>
        <row r="674">
          <cell r="B674" t="str">
            <v>CT5302801</v>
          </cell>
          <cell r="C674">
            <v>42690</v>
          </cell>
          <cell r="D674">
            <v>4640</v>
          </cell>
          <cell r="E674">
            <v>47330</v>
          </cell>
          <cell r="F674">
            <v>9.8000000000000007</v>
          </cell>
          <cell r="G674">
            <v>47340</v>
          </cell>
          <cell r="H674">
            <v>42690</v>
          </cell>
          <cell r="I674">
            <v>4640</v>
          </cell>
          <cell r="J674">
            <v>9.8000000000000007</v>
          </cell>
        </row>
        <row r="675">
          <cell r="B675" t="str">
            <v>CT5302802</v>
          </cell>
          <cell r="C675">
            <v>42930</v>
          </cell>
          <cell r="D675">
            <v>4670</v>
          </cell>
          <cell r="E675">
            <v>47600</v>
          </cell>
          <cell r="F675">
            <v>9.8000000000000007</v>
          </cell>
          <cell r="G675">
            <v>47470</v>
          </cell>
          <cell r="H675">
            <v>42810</v>
          </cell>
          <cell r="I675">
            <v>4660</v>
          </cell>
          <cell r="J675">
            <v>9.8143096384146276</v>
          </cell>
        </row>
        <row r="676">
          <cell r="B676" t="str">
            <v>CT5302803</v>
          </cell>
          <cell r="C676">
            <v>42780</v>
          </cell>
          <cell r="D676">
            <v>4570</v>
          </cell>
          <cell r="E676">
            <v>47350</v>
          </cell>
          <cell r="F676">
            <v>9.6999999999999993</v>
          </cell>
          <cell r="G676">
            <v>47430</v>
          </cell>
          <cell r="H676">
            <v>42800</v>
          </cell>
          <cell r="I676">
            <v>4630</v>
          </cell>
          <cell r="J676">
            <v>9.7617541640312044</v>
          </cell>
        </row>
        <row r="677">
          <cell r="B677" t="str">
            <v>CT5302804</v>
          </cell>
          <cell r="C677">
            <v>42350</v>
          </cell>
          <cell r="D677">
            <v>4410</v>
          </cell>
          <cell r="E677">
            <v>46760</v>
          </cell>
          <cell r="F677">
            <v>9.4</v>
          </cell>
          <cell r="G677">
            <v>47260</v>
          </cell>
          <cell r="H677">
            <v>42690</v>
          </cell>
          <cell r="I677">
            <v>4580</v>
          </cell>
          <cell r="J677">
            <v>9.68055900851102</v>
          </cell>
        </row>
        <row r="678">
          <cell r="B678" t="str">
            <v>CT5302805</v>
          </cell>
          <cell r="C678">
            <v>42600</v>
          </cell>
          <cell r="D678">
            <v>4420</v>
          </cell>
          <cell r="E678">
            <v>47020</v>
          </cell>
          <cell r="F678">
            <v>9.4</v>
          </cell>
          <cell r="G678">
            <v>47210</v>
          </cell>
          <cell r="H678">
            <v>42670</v>
          </cell>
          <cell r="I678">
            <v>4540</v>
          </cell>
          <cell r="J678">
            <v>9.6245493787675329</v>
          </cell>
        </row>
        <row r="679">
          <cell r="B679" t="str">
            <v>CT5302806</v>
          </cell>
          <cell r="C679">
            <v>42560</v>
          </cell>
          <cell r="D679">
            <v>4700</v>
          </cell>
          <cell r="E679">
            <v>47260</v>
          </cell>
          <cell r="F679">
            <v>9.9</v>
          </cell>
          <cell r="G679">
            <v>47220</v>
          </cell>
          <cell r="H679">
            <v>42650</v>
          </cell>
          <cell r="I679">
            <v>4570</v>
          </cell>
          <cell r="J679">
            <v>9.6763035567430595</v>
          </cell>
        </row>
        <row r="680">
          <cell r="B680" t="str">
            <v>CT5302807</v>
          </cell>
          <cell r="C680">
            <v>42530</v>
          </cell>
          <cell r="D680">
            <v>4700</v>
          </cell>
          <cell r="E680">
            <v>47230</v>
          </cell>
          <cell r="F680">
            <v>10</v>
          </cell>
          <cell r="G680">
            <v>47220</v>
          </cell>
          <cell r="H680">
            <v>42630</v>
          </cell>
          <cell r="I680">
            <v>4590</v>
          </cell>
          <cell r="J680">
            <v>9.7158692127108601</v>
          </cell>
        </row>
        <row r="681">
          <cell r="B681" t="str">
            <v>CT5302808</v>
          </cell>
          <cell r="C681" t="str">
            <v/>
          </cell>
          <cell r="D681" t="str">
            <v/>
          </cell>
          <cell r="E681" t="e">
            <v>#VALUE!</v>
          </cell>
          <cell r="F681" t="str">
            <v/>
          </cell>
          <cell r="G681" t="str">
            <v/>
          </cell>
          <cell r="H681" t="str">
            <v/>
          </cell>
          <cell r="I681" t="str">
            <v/>
          </cell>
          <cell r="J681" t="str">
            <v/>
          </cell>
        </row>
        <row r="682">
          <cell r="B682" t="str">
            <v>CT5302809</v>
          </cell>
          <cell r="C682" t="str">
            <v/>
          </cell>
          <cell r="D682" t="str">
            <v/>
          </cell>
          <cell r="E682" t="e">
            <v>#VALUE!</v>
          </cell>
          <cell r="F682" t="str">
            <v/>
          </cell>
          <cell r="G682" t="str">
            <v/>
          </cell>
          <cell r="H682" t="str">
            <v/>
          </cell>
          <cell r="I682" t="str">
            <v/>
          </cell>
          <cell r="J682" t="str">
            <v/>
          </cell>
        </row>
        <row r="683">
          <cell r="B683" t="str">
            <v>CT53028010</v>
          </cell>
          <cell r="C683" t="str">
            <v/>
          </cell>
          <cell r="D683" t="str">
            <v/>
          </cell>
          <cell r="E683" t="e">
            <v>#VALUE!</v>
          </cell>
          <cell r="F683" t="str">
            <v/>
          </cell>
          <cell r="G683" t="str">
            <v/>
          </cell>
          <cell r="H683" t="str">
            <v/>
          </cell>
          <cell r="I683" t="str">
            <v/>
          </cell>
          <cell r="J683" t="str">
            <v/>
          </cell>
        </row>
        <row r="684">
          <cell r="B684" t="str">
            <v>CT53028011</v>
          </cell>
          <cell r="C684" t="str">
            <v/>
          </cell>
          <cell r="D684" t="str">
            <v/>
          </cell>
          <cell r="E684" t="e">
            <v>#VALUE!</v>
          </cell>
          <cell r="F684" t="str">
            <v/>
          </cell>
          <cell r="G684" t="str">
            <v/>
          </cell>
          <cell r="H684" t="str">
            <v/>
          </cell>
          <cell r="I684" t="str">
            <v/>
          </cell>
          <cell r="J684" t="str">
            <v/>
          </cell>
        </row>
        <row r="685">
          <cell r="B685" t="str">
            <v>CT53028012</v>
          </cell>
          <cell r="C685" t="str">
            <v/>
          </cell>
          <cell r="D685" t="str">
            <v/>
          </cell>
          <cell r="E685" t="e">
            <v>#VALUE!</v>
          </cell>
          <cell r="F685" t="str">
            <v/>
          </cell>
          <cell r="G685" t="str">
            <v/>
          </cell>
          <cell r="H685" t="str">
            <v/>
          </cell>
          <cell r="I685" t="str">
            <v/>
          </cell>
          <cell r="J685" t="str">
            <v/>
          </cell>
        </row>
        <row r="686">
          <cell r="B686" t="str">
            <v>CT5302701</v>
          </cell>
          <cell r="C686">
            <v>35330</v>
          </cell>
          <cell r="D686">
            <v>2810</v>
          </cell>
          <cell r="E686">
            <v>38140</v>
          </cell>
          <cell r="F686">
            <v>7.4</v>
          </cell>
          <cell r="G686">
            <v>38140</v>
          </cell>
          <cell r="H686">
            <v>35330</v>
          </cell>
          <cell r="I686">
            <v>2810</v>
          </cell>
          <cell r="J686">
            <v>7.4</v>
          </cell>
        </row>
        <row r="687">
          <cell r="B687" t="str">
            <v>CT5302702</v>
          </cell>
          <cell r="C687">
            <v>35460</v>
          </cell>
          <cell r="D687">
            <v>2840</v>
          </cell>
          <cell r="E687">
            <v>38300</v>
          </cell>
          <cell r="F687">
            <v>7.4</v>
          </cell>
          <cell r="G687">
            <v>38220</v>
          </cell>
          <cell r="H687">
            <v>35390</v>
          </cell>
          <cell r="I687">
            <v>2820</v>
          </cell>
          <cell r="J687">
            <v>7.3895750471006911</v>
          </cell>
        </row>
        <row r="688">
          <cell r="B688" t="str">
            <v>CT5302703</v>
          </cell>
          <cell r="C688">
            <v>35930</v>
          </cell>
          <cell r="D688">
            <v>2910</v>
          </cell>
          <cell r="E688">
            <v>38840</v>
          </cell>
          <cell r="F688">
            <v>7.5</v>
          </cell>
          <cell r="G688">
            <v>38420</v>
          </cell>
          <cell r="H688">
            <v>35570</v>
          </cell>
          <cell r="I688">
            <v>2850</v>
          </cell>
          <cell r="J688">
            <v>7.4210311711070815</v>
          </cell>
        </row>
        <row r="689">
          <cell r="B689" t="str">
            <v>CT5302704</v>
          </cell>
          <cell r="C689">
            <v>36040</v>
          </cell>
          <cell r="D689">
            <v>2540</v>
          </cell>
          <cell r="E689">
            <v>38580</v>
          </cell>
          <cell r="F689">
            <v>6.6</v>
          </cell>
          <cell r="G689">
            <v>38460</v>
          </cell>
          <cell r="H689">
            <v>35690</v>
          </cell>
          <cell r="I689">
            <v>2770</v>
          </cell>
          <cell r="J689">
            <v>7.2097134834381986</v>
          </cell>
        </row>
        <row r="690">
          <cell r="B690" t="str">
            <v>CT5302705</v>
          </cell>
          <cell r="C690">
            <v>36220</v>
          </cell>
          <cell r="D690">
            <v>2650</v>
          </cell>
          <cell r="E690">
            <v>38870</v>
          </cell>
          <cell r="F690">
            <v>6.8</v>
          </cell>
          <cell r="G690">
            <v>38540</v>
          </cell>
          <cell r="H690">
            <v>35800</v>
          </cell>
          <cell r="I690">
            <v>2750</v>
          </cell>
          <cell r="J690">
            <v>7.1324796081442878</v>
          </cell>
        </row>
        <row r="691">
          <cell r="B691" t="str">
            <v>CT5302706</v>
          </cell>
          <cell r="C691">
            <v>37550</v>
          </cell>
          <cell r="D691">
            <v>2770</v>
          </cell>
          <cell r="E691">
            <v>40320</v>
          </cell>
          <cell r="F691">
            <v>6.9</v>
          </cell>
          <cell r="G691">
            <v>38840</v>
          </cell>
          <cell r="H691">
            <v>36090</v>
          </cell>
          <cell r="I691">
            <v>2750</v>
          </cell>
          <cell r="J691">
            <v>7.0886988461554976</v>
          </cell>
        </row>
        <row r="692">
          <cell r="B692" t="str">
            <v>CT5302707</v>
          </cell>
          <cell r="C692">
            <v>36740</v>
          </cell>
          <cell r="D692">
            <v>2690</v>
          </cell>
          <cell r="E692">
            <v>39430</v>
          </cell>
          <cell r="F692">
            <v>6.8</v>
          </cell>
          <cell r="G692">
            <v>38930</v>
          </cell>
          <cell r="H692">
            <v>36180</v>
          </cell>
          <cell r="I692">
            <v>2740</v>
          </cell>
          <cell r="J692">
            <v>7.0511338405246606</v>
          </cell>
        </row>
        <row r="693">
          <cell r="B693" t="str">
            <v>CT5302708</v>
          </cell>
          <cell r="C693" t="str">
            <v/>
          </cell>
          <cell r="D693" t="str">
            <v/>
          </cell>
          <cell r="E693" t="e">
            <v>#VALUE!</v>
          </cell>
          <cell r="F693" t="str">
            <v/>
          </cell>
          <cell r="G693" t="str">
            <v/>
          </cell>
          <cell r="H693" t="str">
            <v/>
          </cell>
          <cell r="I693" t="str">
            <v/>
          </cell>
          <cell r="J693" t="str">
            <v/>
          </cell>
        </row>
        <row r="694">
          <cell r="B694" t="str">
            <v>CT5302709</v>
          </cell>
          <cell r="C694" t="str">
            <v/>
          </cell>
          <cell r="D694" t="str">
            <v/>
          </cell>
          <cell r="E694" t="e">
            <v>#VALUE!</v>
          </cell>
          <cell r="F694" t="str">
            <v/>
          </cell>
          <cell r="G694" t="str">
            <v/>
          </cell>
          <cell r="H694" t="str">
            <v/>
          </cell>
          <cell r="I694" t="str">
            <v/>
          </cell>
          <cell r="J694" t="str">
            <v/>
          </cell>
        </row>
        <row r="695">
          <cell r="B695" t="str">
            <v>CT53027010</v>
          </cell>
          <cell r="C695" t="str">
            <v/>
          </cell>
          <cell r="D695" t="str">
            <v/>
          </cell>
          <cell r="E695" t="e">
            <v>#VALUE!</v>
          </cell>
          <cell r="F695" t="str">
            <v/>
          </cell>
          <cell r="G695" t="str">
            <v/>
          </cell>
          <cell r="H695" t="str">
            <v/>
          </cell>
          <cell r="I695" t="str">
            <v/>
          </cell>
          <cell r="J695" t="str">
            <v/>
          </cell>
        </row>
        <row r="696">
          <cell r="B696" t="str">
            <v>CT53027011</v>
          </cell>
          <cell r="C696" t="str">
            <v/>
          </cell>
          <cell r="D696" t="str">
            <v/>
          </cell>
          <cell r="E696" t="e">
            <v>#VALUE!</v>
          </cell>
          <cell r="F696" t="str">
            <v/>
          </cell>
          <cell r="G696" t="str">
            <v/>
          </cell>
          <cell r="H696" t="str">
            <v/>
          </cell>
          <cell r="I696" t="str">
            <v/>
          </cell>
          <cell r="J696" t="str">
            <v/>
          </cell>
        </row>
        <row r="697">
          <cell r="B697" t="str">
            <v>CT53027012</v>
          </cell>
          <cell r="C697" t="str">
            <v/>
          </cell>
          <cell r="D697" t="str">
            <v/>
          </cell>
          <cell r="E697" t="e">
            <v>#VALUE!</v>
          </cell>
          <cell r="F697" t="str">
            <v/>
          </cell>
          <cell r="G697" t="str">
            <v/>
          </cell>
          <cell r="H697" t="str">
            <v/>
          </cell>
          <cell r="I697" t="str">
            <v/>
          </cell>
          <cell r="J697" t="str">
            <v/>
          </cell>
        </row>
        <row r="698">
          <cell r="B698" t="str">
            <v>CT5302501</v>
          </cell>
          <cell r="C698">
            <v>13320</v>
          </cell>
          <cell r="D698">
            <v>1830</v>
          </cell>
          <cell r="E698">
            <v>15150</v>
          </cell>
          <cell r="F698">
            <v>12.1</v>
          </cell>
          <cell r="G698">
            <v>15140</v>
          </cell>
          <cell r="H698">
            <v>13320</v>
          </cell>
          <cell r="I698">
            <v>1830</v>
          </cell>
          <cell r="J698">
            <v>12.1</v>
          </cell>
        </row>
        <row r="699">
          <cell r="B699" t="str">
            <v>CT5302502</v>
          </cell>
          <cell r="C699">
            <v>13270</v>
          </cell>
          <cell r="D699">
            <v>1910</v>
          </cell>
          <cell r="E699">
            <v>15180</v>
          </cell>
          <cell r="F699">
            <v>12.6</v>
          </cell>
          <cell r="G699">
            <v>15160</v>
          </cell>
          <cell r="H699">
            <v>13290</v>
          </cell>
          <cell r="I699">
            <v>1870</v>
          </cell>
          <cell r="J699">
            <v>12.327682870523054</v>
          </cell>
        </row>
        <row r="700">
          <cell r="B700" t="str">
            <v>CT5302503</v>
          </cell>
          <cell r="C700">
            <v>13440</v>
          </cell>
          <cell r="D700">
            <v>1900</v>
          </cell>
          <cell r="E700">
            <v>15340</v>
          </cell>
          <cell r="F700">
            <v>12.4</v>
          </cell>
          <cell r="G700">
            <v>15220</v>
          </cell>
          <cell r="H700">
            <v>13340</v>
          </cell>
          <cell r="I700">
            <v>1880</v>
          </cell>
          <cell r="J700">
            <v>12.348896285914506</v>
          </cell>
        </row>
        <row r="701">
          <cell r="B701" t="str">
            <v>CT5302504</v>
          </cell>
          <cell r="C701">
            <v>13320</v>
          </cell>
          <cell r="D701">
            <v>1790</v>
          </cell>
          <cell r="E701">
            <v>15110</v>
          </cell>
          <cell r="F701">
            <v>11.9</v>
          </cell>
          <cell r="G701">
            <v>15200</v>
          </cell>
          <cell r="H701">
            <v>13340</v>
          </cell>
          <cell r="I701">
            <v>1860</v>
          </cell>
          <cell r="J701">
            <v>12.226061204343534</v>
          </cell>
        </row>
        <row r="702">
          <cell r="B702" t="str">
            <v>CT5302505</v>
          </cell>
          <cell r="C702">
            <v>13500</v>
          </cell>
          <cell r="D702">
            <v>1810</v>
          </cell>
          <cell r="E702">
            <v>15310</v>
          </cell>
          <cell r="F702">
            <v>11.8</v>
          </cell>
          <cell r="G702">
            <v>15220</v>
          </cell>
          <cell r="H702">
            <v>13370</v>
          </cell>
          <cell r="I702">
            <v>1850</v>
          </cell>
          <cell r="J702">
            <v>12.139055004271539</v>
          </cell>
        </row>
        <row r="703">
          <cell r="B703" t="str">
            <v>CT5302506</v>
          </cell>
          <cell r="C703">
            <v>13150</v>
          </cell>
          <cell r="D703">
            <v>1790</v>
          </cell>
          <cell r="E703">
            <v>14940</v>
          </cell>
          <cell r="F703">
            <v>12</v>
          </cell>
          <cell r="G703">
            <v>15170</v>
          </cell>
          <cell r="H703">
            <v>13330</v>
          </cell>
          <cell r="I703">
            <v>1840</v>
          </cell>
          <cell r="J703">
            <v>12.112855557630823</v>
          </cell>
        </row>
        <row r="704">
          <cell r="B704" t="str">
            <v>CT5302507</v>
          </cell>
          <cell r="C704">
            <v>13150</v>
          </cell>
          <cell r="D704">
            <v>1680</v>
          </cell>
          <cell r="E704">
            <v>14830</v>
          </cell>
          <cell r="F704">
            <v>11.3</v>
          </cell>
          <cell r="G704">
            <v>15120</v>
          </cell>
          <cell r="H704">
            <v>13310</v>
          </cell>
          <cell r="I704">
            <v>1820</v>
          </cell>
          <cell r="J704">
            <v>12.003438731070446</v>
          </cell>
        </row>
        <row r="705">
          <cell r="B705" t="str">
            <v>CT5302508</v>
          </cell>
          <cell r="C705" t="str">
            <v/>
          </cell>
          <cell r="D705" t="str">
            <v/>
          </cell>
          <cell r="E705" t="e">
            <v>#VALUE!</v>
          </cell>
          <cell r="F705" t="str">
            <v/>
          </cell>
          <cell r="G705" t="str">
            <v/>
          </cell>
          <cell r="H705" t="str">
            <v/>
          </cell>
          <cell r="I705" t="str">
            <v/>
          </cell>
          <cell r="J705" t="str">
            <v/>
          </cell>
        </row>
        <row r="706">
          <cell r="B706" t="str">
            <v>CT5302509</v>
          </cell>
          <cell r="C706" t="str">
            <v/>
          </cell>
          <cell r="D706" t="str">
            <v/>
          </cell>
          <cell r="E706" t="e">
            <v>#VALUE!</v>
          </cell>
          <cell r="F706" t="str">
            <v/>
          </cell>
          <cell r="G706" t="str">
            <v/>
          </cell>
          <cell r="H706" t="str">
            <v/>
          </cell>
          <cell r="I706" t="str">
            <v/>
          </cell>
          <cell r="J706" t="str">
            <v/>
          </cell>
        </row>
        <row r="707">
          <cell r="B707" t="str">
            <v>CT53025010</v>
          </cell>
          <cell r="C707" t="str">
            <v/>
          </cell>
          <cell r="D707" t="str">
            <v/>
          </cell>
          <cell r="E707" t="e">
            <v>#VALUE!</v>
          </cell>
          <cell r="F707" t="str">
            <v/>
          </cell>
          <cell r="G707" t="str">
            <v/>
          </cell>
          <cell r="H707" t="str">
            <v/>
          </cell>
          <cell r="I707" t="str">
            <v/>
          </cell>
          <cell r="J707" t="str">
            <v/>
          </cell>
        </row>
        <row r="708">
          <cell r="B708" t="str">
            <v>CT53025011</v>
          </cell>
          <cell r="C708" t="str">
            <v/>
          </cell>
          <cell r="D708" t="str">
            <v/>
          </cell>
          <cell r="E708" t="e">
            <v>#VALUE!</v>
          </cell>
          <cell r="F708" t="str">
            <v/>
          </cell>
          <cell r="G708" t="str">
            <v/>
          </cell>
          <cell r="H708" t="str">
            <v/>
          </cell>
          <cell r="I708" t="str">
            <v/>
          </cell>
          <cell r="J708" t="str">
            <v/>
          </cell>
        </row>
        <row r="709">
          <cell r="B709" t="str">
            <v>CT53025012</v>
          </cell>
          <cell r="C709" t="str">
            <v/>
          </cell>
          <cell r="D709" t="str">
            <v/>
          </cell>
          <cell r="E709" t="e">
            <v>#VALUE!</v>
          </cell>
          <cell r="F709" t="str">
            <v/>
          </cell>
          <cell r="G709" t="str">
            <v/>
          </cell>
          <cell r="H709" t="str">
            <v/>
          </cell>
          <cell r="I709" t="str">
            <v/>
          </cell>
          <cell r="J709" t="str">
            <v/>
          </cell>
        </row>
        <row r="710">
          <cell r="B710" t="str">
            <v>CT5302301</v>
          </cell>
          <cell r="C710">
            <v>22710</v>
          </cell>
          <cell r="D710">
            <v>2650</v>
          </cell>
          <cell r="E710">
            <v>25360</v>
          </cell>
          <cell r="F710">
            <v>10.5</v>
          </cell>
          <cell r="G710">
            <v>25360</v>
          </cell>
          <cell r="H710">
            <v>22710</v>
          </cell>
          <cell r="I710">
            <v>2650</v>
          </cell>
          <cell r="J710">
            <v>10.5</v>
          </cell>
        </row>
        <row r="711">
          <cell r="B711" t="str">
            <v>CT5302302</v>
          </cell>
          <cell r="C711">
            <v>22550</v>
          </cell>
          <cell r="D711">
            <v>2560</v>
          </cell>
          <cell r="E711">
            <v>25110</v>
          </cell>
          <cell r="F711">
            <v>10.199999999999999</v>
          </cell>
          <cell r="G711">
            <v>25240</v>
          </cell>
          <cell r="H711">
            <v>22630</v>
          </cell>
          <cell r="I711">
            <v>2610</v>
          </cell>
          <cell r="J711">
            <v>10.324536376604851</v>
          </cell>
        </row>
        <row r="712">
          <cell r="B712" t="str">
            <v>CT5302303</v>
          </cell>
          <cell r="C712">
            <v>22590</v>
          </cell>
          <cell r="D712">
            <v>2620</v>
          </cell>
          <cell r="E712">
            <v>25210</v>
          </cell>
          <cell r="F712">
            <v>10.4</v>
          </cell>
          <cell r="G712">
            <v>25230</v>
          </cell>
          <cell r="H712">
            <v>22620</v>
          </cell>
          <cell r="I712">
            <v>2610</v>
          </cell>
          <cell r="J712">
            <v>10.350158562367865</v>
          </cell>
        </row>
        <row r="713">
          <cell r="B713" t="str">
            <v>CT5302304</v>
          </cell>
          <cell r="C713">
            <v>22550</v>
          </cell>
          <cell r="D713">
            <v>2400</v>
          </cell>
          <cell r="E713">
            <v>24950</v>
          </cell>
          <cell r="F713">
            <v>9.6</v>
          </cell>
          <cell r="G713">
            <v>25160</v>
          </cell>
          <cell r="H713">
            <v>22600</v>
          </cell>
          <cell r="I713">
            <v>2560</v>
          </cell>
          <cell r="J713">
            <v>10.172119092101601</v>
          </cell>
        </row>
        <row r="714">
          <cell r="B714" t="str">
            <v>CT5302305</v>
          </cell>
          <cell r="C714">
            <v>22780</v>
          </cell>
          <cell r="D714">
            <v>2440</v>
          </cell>
          <cell r="E714">
            <v>25220</v>
          </cell>
          <cell r="F714">
            <v>9.6999999999999993</v>
          </cell>
          <cell r="G714">
            <v>25170</v>
          </cell>
          <cell r="H714">
            <v>22630</v>
          </cell>
          <cell r="I714">
            <v>2540</v>
          </cell>
          <cell r="J714">
            <v>10.071833828647712</v>
          </cell>
        </row>
        <row r="715">
          <cell r="B715" t="str">
            <v>CT5302306</v>
          </cell>
          <cell r="C715">
            <v>22330</v>
          </cell>
          <cell r="D715">
            <v>2500</v>
          </cell>
          <cell r="E715">
            <v>24830</v>
          </cell>
          <cell r="F715">
            <v>10.1</v>
          </cell>
          <cell r="G715">
            <v>25110</v>
          </cell>
          <cell r="H715">
            <v>22580</v>
          </cell>
          <cell r="I715">
            <v>2530</v>
          </cell>
          <cell r="J715">
            <v>10.070218753318468</v>
          </cell>
        </row>
        <row r="716">
          <cell r="B716" t="str">
            <v>CT5302307</v>
          </cell>
          <cell r="C716">
            <v>21990</v>
          </cell>
          <cell r="D716">
            <v>2390</v>
          </cell>
          <cell r="E716">
            <v>24380</v>
          </cell>
          <cell r="F716">
            <v>9.8000000000000007</v>
          </cell>
          <cell r="G716">
            <v>25010</v>
          </cell>
          <cell r="H716">
            <v>22500</v>
          </cell>
          <cell r="I716">
            <v>2510</v>
          </cell>
          <cell r="J716">
            <v>10.031706132708731</v>
          </cell>
        </row>
        <row r="717">
          <cell r="B717" t="str">
            <v>CT5302308</v>
          </cell>
          <cell r="C717" t="str">
            <v/>
          </cell>
          <cell r="D717" t="str">
            <v/>
          </cell>
          <cell r="E717" t="e">
            <v>#VALUE!</v>
          </cell>
          <cell r="F717" t="str">
            <v/>
          </cell>
          <cell r="G717" t="str">
            <v/>
          </cell>
          <cell r="H717" t="str">
            <v/>
          </cell>
          <cell r="I717" t="str">
            <v/>
          </cell>
          <cell r="J717" t="str">
            <v/>
          </cell>
        </row>
        <row r="718">
          <cell r="B718" t="str">
            <v>CT5302309</v>
          </cell>
          <cell r="C718" t="str">
            <v/>
          </cell>
          <cell r="D718" t="str">
            <v/>
          </cell>
          <cell r="E718" t="e">
            <v>#VALUE!</v>
          </cell>
          <cell r="F718" t="str">
            <v/>
          </cell>
          <cell r="G718" t="str">
            <v/>
          </cell>
          <cell r="H718" t="str">
            <v/>
          </cell>
          <cell r="I718" t="str">
            <v/>
          </cell>
          <cell r="J718" t="str">
            <v/>
          </cell>
        </row>
        <row r="719">
          <cell r="B719" t="str">
            <v>CT53023010</v>
          </cell>
          <cell r="C719" t="str">
            <v/>
          </cell>
          <cell r="D719" t="str">
            <v/>
          </cell>
          <cell r="E719" t="e">
            <v>#VALUE!</v>
          </cell>
          <cell r="F719" t="str">
            <v/>
          </cell>
          <cell r="G719" t="str">
            <v/>
          </cell>
          <cell r="H719" t="str">
            <v/>
          </cell>
          <cell r="I719" t="str">
            <v/>
          </cell>
          <cell r="J719" t="str">
            <v/>
          </cell>
        </row>
        <row r="720">
          <cell r="B720" t="str">
            <v>CT53023011</v>
          </cell>
          <cell r="C720" t="str">
            <v/>
          </cell>
          <cell r="D720" t="str">
            <v/>
          </cell>
          <cell r="E720" t="e">
            <v>#VALUE!</v>
          </cell>
          <cell r="F720" t="str">
            <v/>
          </cell>
          <cell r="G720" t="str">
            <v/>
          </cell>
          <cell r="H720" t="str">
            <v/>
          </cell>
          <cell r="I720" t="str">
            <v/>
          </cell>
          <cell r="J720" t="str">
            <v/>
          </cell>
        </row>
        <row r="721">
          <cell r="B721" t="str">
            <v>CT53023012</v>
          </cell>
          <cell r="C721" t="str">
            <v/>
          </cell>
          <cell r="D721" t="str">
            <v/>
          </cell>
          <cell r="E721" t="e">
            <v>#VALUE!</v>
          </cell>
          <cell r="F721" t="str">
            <v/>
          </cell>
          <cell r="G721" t="str">
            <v/>
          </cell>
          <cell r="H721" t="str">
            <v/>
          </cell>
          <cell r="I721" t="str">
            <v/>
          </cell>
          <cell r="J721" t="str">
            <v/>
          </cell>
        </row>
        <row r="722">
          <cell r="B722" t="str">
            <v>CT5302201</v>
          </cell>
          <cell r="C722">
            <v>18310</v>
          </cell>
          <cell r="D722">
            <v>1660</v>
          </cell>
          <cell r="E722">
            <v>19970</v>
          </cell>
          <cell r="F722">
            <v>8.3000000000000007</v>
          </cell>
          <cell r="G722">
            <v>19970</v>
          </cell>
          <cell r="H722">
            <v>18310</v>
          </cell>
          <cell r="I722">
            <v>1660</v>
          </cell>
          <cell r="J722">
            <v>8.3000000000000007</v>
          </cell>
        </row>
        <row r="723">
          <cell r="B723" t="str">
            <v>CT5302202</v>
          </cell>
          <cell r="C723">
            <v>18330</v>
          </cell>
          <cell r="D723">
            <v>1660</v>
          </cell>
          <cell r="E723">
            <v>19990</v>
          </cell>
          <cell r="F723">
            <v>8.3000000000000007</v>
          </cell>
          <cell r="G723">
            <v>19980</v>
          </cell>
          <cell r="H723">
            <v>18320</v>
          </cell>
          <cell r="I723">
            <v>1660</v>
          </cell>
          <cell r="J723">
            <v>8.2903629536921155</v>
          </cell>
        </row>
        <row r="724">
          <cell r="B724" t="str">
            <v>CT5302203</v>
          </cell>
          <cell r="C724">
            <v>18530</v>
          </cell>
          <cell r="D724">
            <v>1670</v>
          </cell>
          <cell r="E724">
            <v>20200</v>
          </cell>
          <cell r="F724">
            <v>8.3000000000000007</v>
          </cell>
          <cell r="G724">
            <v>20050</v>
          </cell>
          <cell r="H724">
            <v>18390</v>
          </cell>
          <cell r="I724">
            <v>1660</v>
          </cell>
          <cell r="J724">
            <v>8.2829021746358986</v>
          </cell>
        </row>
        <row r="725">
          <cell r="B725" t="str">
            <v>CT5302204</v>
          </cell>
          <cell r="C725">
            <v>18530</v>
          </cell>
          <cell r="D725">
            <v>1520</v>
          </cell>
          <cell r="E725">
            <v>20050</v>
          </cell>
          <cell r="F725">
            <v>7.6</v>
          </cell>
          <cell r="G725">
            <v>20050</v>
          </cell>
          <cell r="H725">
            <v>18420</v>
          </cell>
          <cell r="I725">
            <v>1630</v>
          </cell>
          <cell r="J725">
            <v>8.1074341006010133</v>
          </cell>
        </row>
        <row r="726">
          <cell r="B726" t="str">
            <v>CT5302205</v>
          </cell>
          <cell r="C726">
            <v>18510</v>
          </cell>
          <cell r="D726">
            <v>1540</v>
          </cell>
          <cell r="E726">
            <v>20050</v>
          </cell>
          <cell r="F726">
            <v>7.7</v>
          </cell>
          <cell r="G726">
            <v>20050</v>
          </cell>
          <cell r="H726">
            <v>18440</v>
          </cell>
          <cell r="I726">
            <v>1610</v>
          </cell>
          <cell r="J726">
            <v>8.0171975221203624</v>
          </cell>
        </row>
        <row r="727">
          <cell r="B727" t="str">
            <v>CT5302206</v>
          </cell>
          <cell r="C727">
            <v>18060</v>
          </cell>
          <cell r="D727">
            <v>1610</v>
          </cell>
          <cell r="E727">
            <v>19670</v>
          </cell>
          <cell r="F727">
            <v>8.1999999999999993</v>
          </cell>
          <cell r="G727">
            <v>19990</v>
          </cell>
          <cell r="H727">
            <v>18380</v>
          </cell>
          <cell r="I727">
            <v>1610</v>
          </cell>
          <cell r="J727">
            <v>8.0454306656993477</v>
          </cell>
        </row>
        <row r="728">
          <cell r="B728" t="str">
            <v>CT5302207</v>
          </cell>
          <cell r="C728">
            <v>17850</v>
          </cell>
          <cell r="D728">
            <v>1570</v>
          </cell>
          <cell r="E728">
            <v>19420</v>
          </cell>
          <cell r="F728">
            <v>8.1</v>
          </cell>
          <cell r="G728">
            <v>19910</v>
          </cell>
          <cell r="H728">
            <v>18300</v>
          </cell>
          <cell r="I728">
            <v>1600</v>
          </cell>
          <cell r="J728">
            <v>8.0528483874208785</v>
          </cell>
        </row>
        <row r="729">
          <cell r="B729" t="str">
            <v>CT5302208</v>
          </cell>
          <cell r="C729" t="str">
            <v/>
          </cell>
          <cell r="D729" t="str">
            <v/>
          </cell>
          <cell r="E729" t="e">
            <v>#VALUE!</v>
          </cell>
          <cell r="F729" t="str">
            <v/>
          </cell>
          <cell r="G729" t="str">
            <v/>
          </cell>
          <cell r="H729" t="str">
            <v/>
          </cell>
          <cell r="I729" t="str">
            <v/>
          </cell>
          <cell r="J729" t="str">
            <v/>
          </cell>
        </row>
        <row r="730">
          <cell r="B730" t="str">
            <v>CT5302209</v>
          </cell>
          <cell r="C730" t="str">
            <v/>
          </cell>
          <cell r="D730" t="str">
            <v/>
          </cell>
          <cell r="E730" t="e">
            <v>#VALUE!</v>
          </cell>
          <cell r="F730" t="str">
            <v/>
          </cell>
          <cell r="G730" t="str">
            <v/>
          </cell>
          <cell r="H730" t="str">
            <v/>
          </cell>
          <cell r="I730" t="str">
            <v/>
          </cell>
          <cell r="J730" t="str">
            <v/>
          </cell>
        </row>
        <row r="731">
          <cell r="B731" t="str">
            <v>CT53022010</v>
          </cell>
          <cell r="C731" t="str">
            <v/>
          </cell>
          <cell r="D731" t="str">
            <v/>
          </cell>
          <cell r="E731" t="e">
            <v>#VALUE!</v>
          </cell>
          <cell r="F731" t="str">
            <v/>
          </cell>
          <cell r="G731" t="str">
            <v/>
          </cell>
          <cell r="H731" t="str">
            <v/>
          </cell>
          <cell r="I731" t="str">
            <v/>
          </cell>
          <cell r="J731" t="str">
            <v/>
          </cell>
        </row>
        <row r="732">
          <cell r="B732" t="str">
            <v>CT53022011</v>
          </cell>
          <cell r="C732" t="str">
            <v/>
          </cell>
          <cell r="D732" t="str">
            <v/>
          </cell>
          <cell r="E732" t="e">
            <v>#VALUE!</v>
          </cell>
          <cell r="F732" t="str">
            <v/>
          </cell>
          <cell r="G732" t="str">
            <v/>
          </cell>
          <cell r="H732" t="str">
            <v/>
          </cell>
          <cell r="I732" t="str">
            <v/>
          </cell>
          <cell r="J732" t="str">
            <v/>
          </cell>
        </row>
        <row r="733">
          <cell r="B733" t="str">
            <v>CT53022012</v>
          </cell>
          <cell r="C733" t="str">
            <v/>
          </cell>
          <cell r="D733" t="str">
            <v/>
          </cell>
          <cell r="E733" t="e">
            <v>#VALUE!</v>
          </cell>
          <cell r="F733" t="str">
            <v/>
          </cell>
          <cell r="G733" t="str">
            <v/>
          </cell>
          <cell r="H733" t="str">
            <v/>
          </cell>
          <cell r="I733" t="str">
            <v/>
          </cell>
          <cell r="J733" t="str">
            <v/>
          </cell>
        </row>
        <row r="734">
          <cell r="B734" t="str">
            <v>CT5302001</v>
          </cell>
          <cell r="C734">
            <v>20390</v>
          </cell>
          <cell r="D734">
            <v>1950</v>
          </cell>
          <cell r="E734">
            <v>22340</v>
          </cell>
          <cell r="F734">
            <v>8.6999999999999993</v>
          </cell>
          <cell r="G734">
            <v>22350</v>
          </cell>
          <cell r="H734">
            <v>20390</v>
          </cell>
          <cell r="I734">
            <v>1950</v>
          </cell>
          <cell r="J734">
            <v>8.6999999999999993</v>
          </cell>
        </row>
        <row r="735">
          <cell r="B735" t="str">
            <v>CT5302002</v>
          </cell>
          <cell r="C735">
            <v>20510</v>
          </cell>
          <cell r="D735">
            <v>2030</v>
          </cell>
          <cell r="E735">
            <v>22540</v>
          </cell>
          <cell r="F735">
            <v>9</v>
          </cell>
          <cell r="G735">
            <v>22440</v>
          </cell>
          <cell r="H735">
            <v>20450</v>
          </cell>
          <cell r="I735">
            <v>1990</v>
          </cell>
          <cell r="J735">
            <v>8.8717583103110247</v>
          </cell>
        </row>
        <row r="736">
          <cell r="B736" t="str">
            <v>CT5302003</v>
          </cell>
          <cell r="C736">
            <v>20430</v>
          </cell>
          <cell r="D736">
            <v>2060</v>
          </cell>
          <cell r="E736">
            <v>22490</v>
          </cell>
          <cell r="F736">
            <v>9.1999999999999993</v>
          </cell>
          <cell r="G736">
            <v>22460</v>
          </cell>
          <cell r="H736">
            <v>20450</v>
          </cell>
          <cell r="I736">
            <v>2010</v>
          </cell>
          <cell r="J736">
            <v>8.9661006886725243</v>
          </cell>
        </row>
        <row r="737">
          <cell r="B737" t="str">
            <v>CT5302004</v>
          </cell>
          <cell r="C737">
            <v>20230</v>
          </cell>
          <cell r="D737">
            <v>1830</v>
          </cell>
          <cell r="E737">
            <v>22060</v>
          </cell>
          <cell r="F737">
            <v>8.3000000000000007</v>
          </cell>
          <cell r="G737">
            <v>22360</v>
          </cell>
          <cell r="H737">
            <v>20390</v>
          </cell>
          <cell r="I737">
            <v>1970</v>
          </cell>
          <cell r="J737">
            <v>8.7987655563382638</v>
          </cell>
        </row>
        <row r="738">
          <cell r="B738" t="str">
            <v>CT5302005</v>
          </cell>
          <cell r="C738">
            <v>20350</v>
          </cell>
          <cell r="D738">
            <v>1760</v>
          </cell>
          <cell r="E738">
            <v>22110</v>
          </cell>
          <cell r="F738">
            <v>8</v>
          </cell>
          <cell r="G738">
            <v>22310</v>
          </cell>
          <cell r="H738">
            <v>20380</v>
          </cell>
          <cell r="I738">
            <v>1930</v>
          </cell>
          <cell r="J738">
            <v>8.6352348421684919</v>
          </cell>
        </row>
        <row r="739">
          <cell r="B739" t="str">
            <v>CT5302006</v>
          </cell>
          <cell r="C739">
            <v>20330</v>
          </cell>
          <cell r="D739">
            <v>2010</v>
          </cell>
          <cell r="E739">
            <v>22340</v>
          </cell>
          <cell r="F739">
            <v>9</v>
          </cell>
          <cell r="G739">
            <v>22310</v>
          </cell>
          <cell r="H739">
            <v>20370</v>
          </cell>
          <cell r="I739">
            <v>1940</v>
          </cell>
          <cell r="J739">
            <v>8.6949052530941202</v>
          </cell>
        </row>
        <row r="740">
          <cell r="B740" t="str">
            <v>CT5302007</v>
          </cell>
          <cell r="C740">
            <v>20320</v>
          </cell>
          <cell r="D740">
            <v>1890</v>
          </cell>
          <cell r="E740">
            <v>22210</v>
          </cell>
          <cell r="F740">
            <v>8.5</v>
          </cell>
          <cell r="G740">
            <v>22300</v>
          </cell>
          <cell r="H740">
            <v>20370</v>
          </cell>
          <cell r="I740">
            <v>1930</v>
          </cell>
          <cell r="J740">
            <v>8.6670724284844809</v>
          </cell>
        </row>
        <row r="741">
          <cell r="B741" t="str">
            <v>CT5302008</v>
          </cell>
          <cell r="C741" t="str">
            <v/>
          </cell>
          <cell r="D741" t="str">
            <v/>
          </cell>
          <cell r="E741" t="e">
            <v>#VALUE!</v>
          </cell>
          <cell r="F741" t="str">
            <v/>
          </cell>
          <cell r="G741" t="str">
            <v/>
          </cell>
          <cell r="H741" t="str">
            <v/>
          </cell>
          <cell r="I741" t="str">
            <v/>
          </cell>
          <cell r="J741" t="str">
            <v/>
          </cell>
        </row>
        <row r="742">
          <cell r="B742" t="str">
            <v>CT5302009</v>
          </cell>
          <cell r="C742" t="str">
            <v/>
          </cell>
          <cell r="D742" t="str">
            <v/>
          </cell>
          <cell r="E742" t="e">
            <v>#VALUE!</v>
          </cell>
          <cell r="F742" t="str">
            <v/>
          </cell>
          <cell r="G742" t="str">
            <v/>
          </cell>
          <cell r="H742" t="str">
            <v/>
          </cell>
          <cell r="I742" t="str">
            <v/>
          </cell>
          <cell r="J742" t="str">
            <v/>
          </cell>
        </row>
        <row r="743">
          <cell r="B743" t="str">
            <v>CT53020010</v>
          </cell>
          <cell r="C743" t="str">
            <v/>
          </cell>
          <cell r="D743" t="str">
            <v/>
          </cell>
          <cell r="E743" t="e">
            <v>#VALUE!</v>
          </cell>
          <cell r="F743" t="str">
            <v/>
          </cell>
          <cell r="G743" t="str">
            <v/>
          </cell>
          <cell r="H743" t="str">
            <v/>
          </cell>
          <cell r="I743" t="str">
            <v/>
          </cell>
          <cell r="J743" t="str">
            <v/>
          </cell>
        </row>
        <row r="744">
          <cell r="B744" t="str">
            <v>CT53020011</v>
          </cell>
          <cell r="C744" t="str">
            <v/>
          </cell>
          <cell r="D744" t="str">
            <v/>
          </cell>
          <cell r="E744" t="e">
            <v>#VALUE!</v>
          </cell>
          <cell r="F744" t="str">
            <v/>
          </cell>
          <cell r="G744" t="str">
            <v/>
          </cell>
          <cell r="H744" t="str">
            <v/>
          </cell>
          <cell r="I744" t="str">
            <v/>
          </cell>
          <cell r="J744" t="str">
            <v/>
          </cell>
        </row>
        <row r="745">
          <cell r="B745" t="str">
            <v>CT53020012</v>
          </cell>
          <cell r="C745" t="str">
            <v/>
          </cell>
          <cell r="D745" t="str">
            <v/>
          </cell>
          <cell r="E745" t="e">
            <v>#VALUE!</v>
          </cell>
          <cell r="F745" t="str">
            <v/>
          </cell>
          <cell r="G745" t="str">
            <v/>
          </cell>
          <cell r="H745" t="str">
            <v/>
          </cell>
          <cell r="I745" t="str">
            <v/>
          </cell>
          <cell r="J745" t="str">
            <v/>
          </cell>
        </row>
        <row r="746">
          <cell r="B746" t="str">
            <v>CT5301701</v>
          </cell>
          <cell r="C746">
            <v>15670</v>
          </cell>
          <cell r="D746">
            <v>1600</v>
          </cell>
          <cell r="E746">
            <v>17270</v>
          </cell>
          <cell r="F746">
            <v>9.3000000000000007</v>
          </cell>
          <cell r="G746">
            <v>17270</v>
          </cell>
          <cell r="H746">
            <v>15670</v>
          </cell>
          <cell r="I746">
            <v>1600</v>
          </cell>
          <cell r="J746">
            <v>9.3000000000000007</v>
          </cell>
        </row>
        <row r="747">
          <cell r="B747" t="str">
            <v>CT5301702</v>
          </cell>
          <cell r="C747">
            <v>15760</v>
          </cell>
          <cell r="D747">
            <v>1650</v>
          </cell>
          <cell r="E747">
            <v>17410</v>
          </cell>
          <cell r="F747">
            <v>9.5</v>
          </cell>
          <cell r="G747">
            <v>17340</v>
          </cell>
          <cell r="H747">
            <v>15710</v>
          </cell>
          <cell r="I747">
            <v>1620</v>
          </cell>
          <cell r="J747">
            <v>9.3596769541390241</v>
          </cell>
        </row>
        <row r="748">
          <cell r="B748" t="str">
            <v>CT5301703</v>
          </cell>
          <cell r="C748">
            <v>15700</v>
          </cell>
          <cell r="D748">
            <v>1710</v>
          </cell>
          <cell r="E748">
            <v>17410</v>
          </cell>
          <cell r="F748">
            <v>9.8000000000000007</v>
          </cell>
          <cell r="G748">
            <v>17360</v>
          </cell>
          <cell r="H748">
            <v>15710</v>
          </cell>
          <cell r="I748">
            <v>1650</v>
          </cell>
          <cell r="J748">
            <v>9.5161290322580641</v>
          </cell>
        </row>
        <row r="749">
          <cell r="B749" t="str">
            <v>CT5301704</v>
          </cell>
          <cell r="C749">
            <v>15540</v>
          </cell>
          <cell r="D749">
            <v>1510</v>
          </cell>
          <cell r="E749">
            <v>17050</v>
          </cell>
          <cell r="F749">
            <v>8.8000000000000007</v>
          </cell>
          <cell r="G749">
            <v>17280</v>
          </cell>
          <cell r="H749">
            <v>15670</v>
          </cell>
          <cell r="I749">
            <v>1620</v>
          </cell>
          <cell r="J749">
            <v>9.3478764031940749</v>
          </cell>
        </row>
        <row r="750">
          <cell r="B750" t="str">
            <v>CT5301705</v>
          </cell>
          <cell r="C750">
            <v>15630</v>
          </cell>
          <cell r="D750">
            <v>1540</v>
          </cell>
          <cell r="E750">
            <v>17170</v>
          </cell>
          <cell r="F750">
            <v>8.9</v>
          </cell>
          <cell r="G750">
            <v>17260</v>
          </cell>
          <cell r="H750">
            <v>15660</v>
          </cell>
          <cell r="I750">
            <v>1600</v>
          </cell>
          <cell r="J750">
            <v>9.2669416890701761</v>
          </cell>
        </row>
        <row r="751">
          <cell r="B751" t="str">
            <v>CT5301706</v>
          </cell>
          <cell r="C751">
            <v>15620</v>
          </cell>
          <cell r="D751">
            <v>1700</v>
          </cell>
          <cell r="E751">
            <v>17320</v>
          </cell>
          <cell r="F751">
            <v>9.8000000000000007</v>
          </cell>
          <cell r="G751">
            <v>17270</v>
          </cell>
          <cell r="H751">
            <v>15650</v>
          </cell>
          <cell r="I751">
            <v>1620</v>
          </cell>
          <cell r="J751">
            <v>9.3602524633513173</v>
          </cell>
        </row>
        <row r="752">
          <cell r="B752" t="str">
            <v>CT5301707</v>
          </cell>
          <cell r="C752">
            <v>15610</v>
          </cell>
          <cell r="D752">
            <v>1720</v>
          </cell>
          <cell r="E752">
            <v>17330</v>
          </cell>
          <cell r="F752">
            <v>9.9</v>
          </cell>
          <cell r="G752">
            <v>17280</v>
          </cell>
          <cell r="H752">
            <v>15650</v>
          </cell>
          <cell r="I752">
            <v>1630</v>
          </cell>
          <cell r="J752">
            <v>9.4375036174065485</v>
          </cell>
        </row>
        <row r="753">
          <cell r="B753" t="str">
            <v>CT5301708</v>
          </cell>
          <cell r="C753" t="str">
            <v/>
          </cell>
          <cell r="D753" t="str">
            <v/>
          </cell>
          <cell r="E753" t="e">
            <v>#VALUE!</v>
          </cell>
          <cell r="F753" t="str">
            <v/>
          </cell>
          <cell r="G753" t="str">
            <v/>
          </cell>
          <cell r="H753" t="str">
            <v/>
          </cell>
          <cell r="I753" t="str">
            <v/>
          </cell>
          <cell r="J753" t="str">
            <v/>
          </cell>
        </row>
        <row r="754">
          <cell r="B754" t="str">
            <v>CT5301709</v>
          </cell>
          <cell r="C754" t="str">
            <v/>
          </cell>
          <cell r="D754" t="str">
            <v/>
          </cell>
          <cell r="E754" t="e">
            <v>#VALUE!</v>
          </cell>
          <cell r="F754" t="str">
            <v/>
          </cell>
          <cell r="G754" t="str">
            <v/>
          </cell>
          <cell r="H754" t="str">
            <v/>
          </cell>
          <cell r="I754" t="str">
            <v/>
          </cell>
          <cell r="J754" t="str">
            <v/>
          </cell>
        </row>
        <row r="755">
          <cell r="B755" t="str">
            <v>CT53017010</v>
          </cell>
          <cell r="C755" t="str">
            <v/>
          </cell>
          <cell r="D755" t="str">
            <v/>
          </cell>
          <cell r="E755" t="e">
            <v>#VALUE!</v>
          </cell>
          <cell r="F755" t="str">
            <v/>
          </cell>
          <cell r="G755" t="str">
            <v/>
          </cell>
          <cell r="H755" t="str">
            <v/>
          </cell>
          <cell r="I755" t="str">
            <v/>
          </cell>
          <cell r="J755" t="str">
            <v/>
          </cell>
        </row>
        <row r="756">
          <cell r="B756" t="str">
            <v>CT53017011</v>
          </cell>
          <cell r="C756" t="str">
            <v/>
          </cell>
          <cell r="D756" t="str">
            <v/>
          </cell>
          <cell r="E756" t="e">
            <v>#VALUE!</v>
          </cell>
          <cell r="F756" t="str">
            <v/>
          </cell>
          <cell r="G756" t="str">
            <v/>
          </cell>
          <cell r="H756" t="str">
            <v/>
          </cell>
          <cell r="I756" t="str">
            <v/>
          </cell>
          <cell r="J756" t="str">
            <v/>
          </cell>
        </row>
        <row r="757">
          <cell r="B757" t="str">
            <v>CT53017012</v>
          </cell>
          <cell r="C757" t="str">
            <v/>
          </cell>
          <cell r="D757" t="str">
            <v/>
          </cell>
          <cell r="E757" t="e">
            <v>#VALUE!</v>
          </cell>
          <cell r="F757" t="str">
            <v/>
          </cell>
          <cell r="G757" t="str">
            <v/>
          </cell>
          <cell r="H757" t="str">
            <v/>
          </cell>
          <cell r="I757" t="str">
            <v/>
          </cell>
          <cell r="J757" t="str">
            <v/>
          </cell>
        </row>
        <row r="758">
          <cell r="B758" t="str">
            <v>CT5301601</v>
          </cell>
          <cell r="C758">
            <v>13890</v>
          </cell>
          <cell r="D758">
            <v>1620</v>
          </cell>
          <cell r="E758">
            <v>15510</v>
          </cell>
          <cell r="F758">
            <v>10.5</v>
          </cell>
          <cell r="G758">
            <v>15510</v>
          </cell>
          <cell r="H758">
            <v>13890</v>
          </cell>
          <cell r="I758">
            <v>1620</v>
          </cell>
          <cell r="J758">
            <v>10.5</v>
          </cell>
        </row>
        <row r="759">
          <cell r="B759" t="str">
            <v>CT5301602</v>
          </cell>
          <cell r="C759">
            <v>13970</v>
          </cell>
          <cell r="D759">
            <v>1650</v>
          </cell>
          <cell r="E759">
            <v>15620</v>
          </cell>
          <cell r="F759">
            <v>10.6</v>
          </cell>
          <cell r="G759">
            <v>15560</v>
          </cell>
          <cell r="H759">
            <v>13930</v>
          </cell>
          <cell r="I759">
            <v>1640</v>
          </cell>
          <cell r="J759">
            <v>10.51566265060241</v>
          </cell>
        </row>
        <row r="760">
          <cell r="B760" t="str">
            <v>CT5301603</v>
          </cell>
          <cell r="C760">
            <v>13910</v>
          </cell>
          <cell r="D760">
            <v>1620</v>
          </cell>
          <cell r="E760">
            <v>15530</v>
          </cell>
          <cell r="F760">
            <v>10.4</v>
          </cell>
          <cell r="G760">
            <v>15550</v>
          </cell>
          <cell r="H760">
            <v>13920</v>
          </cell>
          <cell r="I760">
            <v>1630</v>
          </cell>
          <cell r="J760">
            <v>10.485029041730073</v>
          </cell>
        </row>
        <row r="761">
          <cell r="B761" t="str">
            <v>CT5301604</v>
          </cell>
          <cell r="C761">
            <v>13780</v>
          </cell>
          <cell r="D761">
            <v>1460</v>
          </cell>
          <cell r="E761">
            <v>15240</v>
          </cell>
          <cell r="F761">
            <v>9.6</v>
          </cell>
          <cell r="G761">
            <v>15470</v>
          </cell>
          <cell r="H761">
            <v>13890</v>
          </cell>
          <cell r="I761">
            <v>1590</v>
          </cell>
          <cell r="J761">
            <v>10.257238883143744</v>
          </cell>
        </row>
        <row r="762">
          <cell r="B762" t="str">
            <v>CT5301605</v>
          </cell>
          <cell r="C762">
            <v>13860</v>
          </cell>
          <cell r="D762">
            <v>1420</v>
          </cell>
          <cell r="E762">
            <v>15280</v>
          </cell>
          <cell r="F762">
            <v>9.3000000000000007</v>
          </cell>
          <cell r="G762">
            <v>15430</v>
          </cell>
          <cell r="H762">
            <v>13880</v>
          </cell>
          <cell r="I762">
            <v>1550</v>
          </cell>
          <cell r="J762">
            <v>10.069331951014062</v>
          </cell>
        </row>
        <row r="763">
          <cell r="B763" t="str">
            <v>CT5301606</v>
          </cell>
          <cell r="C763">
            <v>13840</v>
          </cell>
          <cell r="D763">
            <v>1670</v>
          </cell>
          <cell r="E763">
            <v>15510</v>
          </cell>
          <cell r="F763">
            <v>10.8</v>
          </cell>
          <cell r="G763">
            <v>15450</v>
          </cell>
          <cell r="H763">
            <v>13870</v>
          </cell>
          <cell r="I763">
            <v>1570</v>
          </cell>
          <cell r="J763">
            <v>10.18763284815658</v>
          </cell>
        </row>
        <row r="764">
          <cell r="B764" t="str">
            <v>CT5301607</v>
          </cell>
          <cell r="C764">
            <v>13830</v>
          </cell>
          <cell r="D764">
            <v>1610</v>
          </cell>
          <cell r="E764">
            <v>15440</v>
          </cell>
          <cell r="F764">
            <v>10.4</v>
          </cell>
          <cell r="G764">
            <v>15450</v>
          </cell>
          <cell r="H764">
            <v>13870</v>
          </cell>
          <cell r="I764">
            <v>1580</v>
          </cell>
          <cell r="J764">
            <v>10.220672561133515</v>
          </cell>
        </row>
        <row r="765">
          <cell r="B765" t="str">
            <v>CT5301608</v>
          </cell>
          <cell r="C765" t="str">
            <v/>
          </cell>
          <cell r="D765" t="str">
            <v/>
          </cell>
          <cell r="E765" t="e">
            <v>#VALUE!</v>
          </cell>
          <cell r="F765" t="str">
            <v/>
          </cell>
          <cell r="G765" t="str">
            <v/>
          </cell>
          <cell r="H765" t="str">
            <v/>
          </cell>
          <cell r="I765" t="str">
            <v/>
          </cell>
          <cell r="J765" t="str">
            <v/>
          </cell>
        </row>
        <row r="766">
          <cell r="B766" t="str">
            <v>CT5301609</v>
          </cell>
          <cell r="C766" t="str">
            <v/>
          </cell>
          <cell r="D766" t="str">
            <v/>
          </cell>
          <cell r="E766" t="e">
            <v>#VALUE!</v>
          </cell>
          <cell r="F766" t="str">
            <v/>
          </cell>
          <cell r="G766" t="str">
            <v/>
          </cell>
          <cell r="H766" t="str">
            <v/>
          </cell>
          <cell r="I766" t="str">
            <v/>
          </cell>
          <cell r="J766" t="str">
            <v/>
          </cell>
        </row>
        <row r="767">
          <cell r="B767" t="str">
            <v>CT53016010</v>
          </cell>
          <cell r="C767" t="str">
            <v/>
          </cell>
          <cell r="D767" t="str">
            <v/>
          </cell>
          <cell r="E767" t="e">
            <v>#VALUE!</v>
          </cell>
          <cell r="F767" t="str">
            <v/>
          </cell>
          <cell r="G767" t="str">
            <v/>
          </cell>
          <cell r="H767" t="str">
            <v/>
          </cell>
          <cell r="I767" t="str">
            <v/>
          </cell>
          <cell r="J767" t="str">
            <v/>
          </cell>
        </row>
        <row r="768">
          <cell r="B768" t="str">
            <v>CT53016011</v>
          </cell>
          <cell r="C768" t="str">
            <v/>
          </cell>
          <cell r="D768" t="str">
            <v/>
          </cell>
          <cell r="E768" t="e">
            <v>#VALUE!</v>
          </cell>
          <cell r="F768" t="str">
            <v/>
          </cell>
          <cell r="G768" t="str">
            <v/>
          </cell>
          <cell r="H768" t="str">
            <v/>
          </cell>
          <cell r="I768" t="str">
            <v/>
          </cell>
          <cell r="J768" t="str">
            <v/>
          </cell>
        </row>
        <row r="769">
          <cell r="B769" t="str">
            <v>CT53016012</v>
          </cell>
          <cell r="C769" t="str">
            <v/>
          </cell>
          <cell r="D769" t="str">
            <v/>
          </cell>
          <cell r="E769" t="e">
            <v>#VALUE!</v>
          </cell>
          <cell r="F769" t="str">
            <v/>
          </cell>
          <cell r="G769" t="str">
            <v/>
          </cell>
          <cell r="H769" t="str">
            <v/>
          </cell>
          <cell r="I769" t="str">
            <v/>
          </cell>
          <cell r="J769" t="str">
            <v/>
          </cell>
        </row>
        <row r="770">
          <cell r="B770" t="str">
            <v>CT5301501</v>
          </cell>
          <cell r="C770">
            <v>14260</v>
          </cell>
          <cell r="D770">
            <v>1490</v>
          </cell>
          <cell r="E770">
            <v>15750</v>
          </cell>
          <cell r="F770">
            <v>9.5</v>
          </cell>
          <cell r="G770">
            <v>15750</v>
          </cell>
          <cell r="H770">
            <v>14260</v>
          </cell>
          <cell r="I770">
            <v>1490</v>
          </cell>
          <cell r="J770">
            <v>9.5</v>
          </cell>
        </row>
        <row r="771">
          <cell r="B771" t="str">
            <v>CT5301502</v>
          </cell>
          <cell r="C771">
            <v>14170</v>
          </cell>
          <cell r="D771">
            <v>1460</v>
          </cell>
          <cell r="E771">
            <v>15630</v>
          </cell>
          <cell r="F771">
            <v>9.3000000000000007</v>
          </cell>
          <cell r="G771">
            <v>15690</v>
          </cell>
          <cell r="H771">
            <v>14210</v>
          </cell>
          <cell r="I771">
            <v>1480</v>
          </cell>
          <cell r="J771">
            <v>9.407265774378585</v>
          </cell>
        </row>
        <row r="772">
          <cell r="B772" t="str">
            <v>CT5301503</v>
          </cell>
          <cell r="C772">
            <v>14150</v>
          </cell>
          <cell r="D772">
            <v>1500</v>
          </cell>
          <cell r="E772">
            <v>15650</v>
          </cell>
          <cell r="F772">
            <v>9.6</v>
          </cell>
          <cell r="G772">
            <v>15680</v>
          </cell>
          <cell r="H772">
            <v>14190</v>
          </cell>
          <cell r="I772">
            <v>1480</v>
          </cell>
          <cell r="J772">
            <v>9.4601203512726197</v>
          </cell>
        </row>
        <row r="773">
          <cell r="B773" t="str">
            <v>CT5301504</v>
          </cell>
          <cell r="C773">
            <v>14110</v>
          </cell>
          <cell r="D773">
            <v>1390</v>
          </cell>
          <cell r="E773">
            <v>15500</v>
          </cell>
          <cell r="F773">
            <v>9</v>
          </cell>
          <cell r="G773">
            <v>15630</v>
          </cell>
          <cell r="H773">
            <v>14170</v>
          </cell>
          <cell r="I773">
            <v>1460</v>
          </cell>
          <cell r="J773">
            <v>9.338515177686082</v>
          </cell>
        </row>
        <row r="774">
          <cell r="B774" t="str">
            <v>CT5301505</v>
          </cell>
          <cell r="C774">
            <v>14110</v>
          </cell>
          <cell r="D774">
            <v>1470</v>
          </cell>
          <cell r="E774">
            <v>15580</v>
          </cell>
          <cell r="F774">
            <v>9.5</v>
          </cell>
          <cell r="G774">
            <v>15620</v>
          </cell>
          <cell r="H774">
            <v>14160</v>
          </cell>
          <cell r="I774">
            <v>1460</v>
          </cell>
          <cell r="J774">
            <v>9.3630369374559894</v>
          </cell>
        </row>
        <row r="775">
          <cell r="B775" t="str">
            <v>CT5301506</v>
          </cell>
          <cell r="C775">
            <v>13810</v>
          </cell>
          <cell r="D775">
            <v>1470</v>
          </cell>
          <cell r="E775">
            <v>15280</v>
          </cell>
          <cell r="F775">
            <v>9.6</v>
          </cell>
          <cell r="G775">
            <v>15560</v>
          </cell>
          <cell r="H775">
            <v>14100</v>
          </cell>
          <cell r="I775">
            <v>1460</v>
          </cell>
          <cell r="J775">
            <v>9.4044827106156497</v>
          </cell>
        </row>
        <row r="776">
          <cell r="B776" t="str">
            <v>CT5301507</v>
          </cell>
          <cell r="C776">
            <v>13670</v>
          </cell>
          <cell r="D776">
            <v>1470</v>
          </cell>
          <cell r="E776">
            <v>15140</v>
          </cell>
          <cell r="F776">
            <v>9.6999999999999993</v>
          </cell>
          <cell r="G776">
            <v>15500</v>
          </cell>
          <cell r="H776">
            <v>14040</v>
          </cell>
          <cell r="I776">
            <v>1470</v>
          </cell>
          <cell r="J776">
            <v>9.4492614741032188</v>
          </cell>
        </row>
        <row r="777">
          <cell r="B777" t="str">
            <v>CT5301508</v>
          </cell>
          <cell r="C777" t="str">
            <v/>
          </cell>
          <cell r="D777" t="str">
            <v/>
          </cell>
          <cell r="E777" t="e">
            <v>#VALUE!</v>
          </cell>
          <cell r="F777" t="str">
            <v/>
          </cell>
          <cell r="G777" t="str">
            <v/>
          </cell>
          <cell r="H777" t="str">
            <v/>
          </cell>
          <cell r="I777" t="str">
            <v/>
          </cell>
          <cell r="J777" t="str">
            <v/>
          </cell>
        </row>
        <row r="778">
          <cell r="B778" t="str">
            <v>CT5301509</v>
          </cell>
          <cell r="C778" t="str">
            <v/>
          </cell>
          <cell r="D778" t="str">
            <v/>
          </cell>
          <cell r="E778" t="e">
            <v>#VALUE!</v>
          </cell>
          <cell r="F778" t="str">
            <v/>
          </cell>
          <cell r="G778" t="str">
            <v/>
          </cell>
          <cell r="H778" t="str">
            <v/>
          </cell>
          <cell r="I778" t="str">
            <v/>
          </cell>
          <cell r="J778" t="str">
            <v/>
          </cell>
        </row>
        <row r="779">
          <cell r="B779" t="str">
            <v>CT53015010</v>
          </cell>
          <cell r="C779" t="str">
            <v/>
          </cell>
          <cell r="D779" t="str">
            <v/>
          </cell>
          <cell r="E779" t="e">
            <v>#VALUE!</v>
          </cell>
          <cell r="F779" t="str">
            <v/>
          </cell>
          <cell r="G779" t="str">
            <v/>
          </cell>
          <cell r="H779" t="str">
            <v/>
          </cell>
          <cell r="I779" t="str">
            <v/>
          </cell>
          <cell r="J779" t="str">
            <v/>
          </cell>
        </row>
        <row r="780">
          <cell r="B780" t="str">
            <v>CT53015011</v>
          </cell>
          <cell r="C780" t="str">
            <v/>
          </cell>
          <cell r="D780" t="str">
            <v/>
          </cell>
          <cell r="E780" t="e">
            <v>#VALUE!</v>
          </cell>
          <cell r="F780" t="str">
            <v/>
          </cell>
          <cell r="G780" t="str">
            <v/>
          </cell>
          <cell r="H780" t="str">
            <v/>
          </cell>
          <cell r="I780" t="str">
            <v/>
          </cell>
          <cell r="J780" t="str">
            <v/>
          </cell>
        </row>
        <row r="781">
          <cell r="B781" t="str">
            <v>CT53015012</v>
          </cell>
          <cell r="C781" t="str">
            <v/>
          </cell>
          <cell r="D781" t="str">
            <v/>
          </cell>
          <cell r="E781" t="e">
            <v>#VALUE!</v>
          </cell>
          <cell r="F781" t="str">
            <v/>
          </cell>
          <cell r="G781" t="str">
            <v/>
          </cell>
          <cell r="H781" t="str">
            <v/>
          </cell>
          <cell r="I781" t="str">
            <v/>
          </cell>
          <cell r="J781" t="str">
            <v/>
          </cell>
        </row>
        <row r="782">
          <cell r="B782" t="str">
            <v>CT5301301</v>
          </cell>
          <cell r="C782">
            <v>17610</v>
          </cell>
          <cell r="D782">
            <v>1660</v>
          </cell>
          <cell r="E782">
            <v>19270</v>
          </cell>
          <cell r="F782">
            <v>8.6</v>
          </cell>
          <cell r="G782">
            <v>19270</v>
          </cell>
          <cell r="H782">
            <v>17610</v>
          </cell>
          <cell r="I782">
            <v>1660</v>
          </cell>
          <cell r="J782">
            <v>8.6</v>
          </cell>
        </row>
        <row r="783">
          <cell r="B783" t="str">
            <v>CT5301302</v>
          </cell>
          <cell r="C783">
            <v>17700</v>
          </cell>
          <cell r="D783">
            <v>1690</v>
          </cell>
          <cell r="E783">
            <v>19390</v>
          </cell>
          <cell r="F783">
            <v>8.6999999999999993</v>
          </cell>
          <cell r="G783">
            <v>19330</v>
          </cell>
          <cell r="H783">
            <v>17650</v>
          </cell>
          <cell r="I783">
            <v>1670</v>
          </cell>
          <cell r="J783">
            <v>8.6536969007088533</v>
          </cell>
        </row>
        <row r="784">
          <cell r="B784" t="str">
            <v>CT5301303</v>
          </cell>
          <cell r="C784">
            <v>17640</v>
          </cell>
          <cell r="D784">
            <v>1660</v>
          </cell>
          <cell r="E784">
            <v>19300</v>
          </cell>
          <cell r="F784">
            <v>8.6</v>
          </cell>
          <cell r="G784">
            <v>19320</v>
          </cell>
          <cell r="H784">
            <v>17650</v>
          </cell>
          <cell r="I784">
            <v>1670</v>
          </cell>
          <cell r="J784">
            <v>8.6331555969698552</v>
          </cell>
        </row>
        <row r="785">
          <cell r="B785" t="str">
            <v>CT5301304</v>
          </cell>
          <cell r="C785">
            <v>17460</v>
          </cell>
          <cell r="D785">
            <v>1460</v>
          </cell>
          <cell r="E785">
            <v>18920</v>
          </cell>
          <cell r="F785">
            <v>7.7</v>
          </cell>
          <cell r="G785">
            <v>19220</v>
          </cell>
          <cell r="H785">
            <v>17600</v>
          </cell>
          <cell r="I785">
            <v>1620</v>
          </cell>
          <cell r="J785">
            <v>8.4096467037827161</v>
          </cell>
        </row>
        <row r="786">
          <cell r="B786" t="str">
            <v>CT5301305</v>
          </cell>
          <cell r="C786">
            <v>17570</v>
          </cell>
          <cell r="D786">
            <v>1430</v>
          </cell>
          <cell r="E786">
            <v>19000</v>
          </cell>
          <cell r="F786">
            <v>7.5</v>
          </cell>
          <cell r="G786">
            <v>19180</v>
          </cell>
          <cell r="H786">
            <v>17600</v>
          </cell>
          <cell r="I786">
            <v>1580</v>
          </cell>
          <cell r="J786">
            <v>8.2388526727509781</v>
          </cell>
        </row>
        <row r="787">
          <cell r="B787" t="str">
            <v>CT5301306</v>
          </cell>
          <cell r="C787">
            <v>17550</v>
          </cell>
          <cell r="D787">
            <v>1630</v>
          </cell>
          <cell r="E787">
            <v>19180</v>
          </cell>
          <cell r="F787">
            <v>8.5</v>
          </cell>
          <cell r="G787">
            <v>19180</v>
          </cell>
          <cell r="H787">
            <v>17590</v>
          </cell>
          <cell r="I787">
            <v>1590</v>
          </cell>
          <cell r="J787">
            <v>8.2811848143512723</v>
          </cell>
        </row>
        <row r="788">
          <cell r="B788" t="str">
            <v>CT5301307</v>
          </cell>
          <cell r="C788">
            <v>17540</v>
          </cell>
          <cell r="D788">
            <v>1600</v>
          </cell>
          <cell r="E788">
            <v>19140</v>
          </cell>
          <cell r="F788">
            <v>8.3000000000000007</v>
          </cell>
          <cell r="G788">
            <v>19170</v>
          </cell>
          <cell r="H788">
            <v>17580</v>
          </cell>
          <cell r="I788">
            <v>1590</v>
          </cell>
          <cell r="J788">
            <v>8.2890549896042156</v>
          </cell>
        </row>
        <row r="789">
          <cell r="B789" t="str">
            <v>CT5301308</v>
          </cell>
          <cell r="C789" t="str">
            <v/>
          </cell>
          <cell r="D789" t="str">
            <v/>
          </cell>
          <cell r="E789" t="e">
            <v>#VALUE!</v>
          </cell>
          <cell r="F789" t="str">
            <v/>
          </cell>
          <cell r="G789" t="str">
            <v/>
          </cell>
          <cell r="H789" t="str">
            <v/>
          </cell>
          <cell r="I789" t="str">
            <v/>
          </cell>
          <cell r="J789" t="str">
            <v/>
          </cell>
        </row>
        <row r="790">
          <cell r="B790" t="str">
            <v>CT5301309</v>
          </cell>
          <cell r="C790" t="str">
            <v/>
          </cell>
          <cell r="D790" t="str">
            <v/>
          </cell>
          <cell r="E790" t="e">
            <v>#VALUE!</v>
          </cell>
          <cell r="F790" t="str">
            <v/>
          </cell>
          <cell r="G790" t="str">
            <v/>
          </cell>
          <cell r="H790" t="str">
            <v/>
          </cell>
          <cell r="I790" t="str">
            <v/>
          </cell>
          <cell r="J790" t="str">
            <v/>
          </cell>
        </row>
        <row r="791">
          <cell r="B791" t="str">
            <v>CT53013010</v>
          </cell>
          <cell r="C791" t="str">
            <v/>
          </cell>
          <cell r="D791" t="str">
            <v/>
          </cell>
          <cell r="E791" t="e">
            <v>#VALUE!</v>
          </cell>
          <cell r="F791" t="str">
            <v/>
          </cell>
          <cell r="G791" t="str">
            <v/>
          </cell>
          <cell r="H791" t="str">
            <v/>
          </cell>
          <cell r="I791" t="str">
            <v/>
          </cell>
          <cell r="J791" t="str">
            <v/>
          </cell>
        </row>
        <row r="792">
          <cell r="B792" t="str">
            <v>CT53013011</v>
          </cell>
          <cell r="C792" t="str">
            <v/>
          </cell>
          <cell r="D792" t="str">
            <v/>
          </cell>
          <cell r="E792" t="e">
            <v>#VALUE!</v>
          </cell>
          <cell r="F792" t="str">
            <v/>
          </cell>
          <cell r="G792" t="str">
            <v/>
          </cell>
          <cell r="H792" t="str">
            <v/>
          </cell>
          <cell r="I792" t="str">
            <v/>
          </cell>
          <cell r="J792" t="str">
            <v/>
          </cell>
        </row>
        <row r="793">
          <cell r="B793" t="str">
            <v>CT53013012</v>
          </cell>
          <cell r="C793" t="str">
            <v/>
          </cell>
          <cell r="D793" t="str">
            <v/>
          </cell>
          <cell r="E793" t="e">
            <v>#VALUE!</v>
          </cell>
          <cell r="F793" t="str">
            <v/>
          </cell>
          <cell r="G793" t="str">
            <v/>
          </cell>
          <cell r="H793" t="str">
            <v/>
          </cell>
          <cell r="I793" t="str">
            <v/>
          </cell>
          <cell r="J793" t="str">
            <v/>
          </cell>
        </row>
        <row r="794">
          <cell r="B794" t="str">
            <v>CT5301001</v>
          </cell>
          <cell r="C794">
            <v>39320</v>
          </cell>
          <cell r="D794">
            <v>3860</v>
          </cell>
          <cell r="E794">
            <v>43180</v>
          </cell>
          <cell r="F794">
            <v>8.9</v>
          </cell>
          <cell r="G794">
            <v>43180</v>
          </cell>
          <cell r="H794">
            <v>39320</v>
          </cell>
          <cell r="I794">
            <v>3860</v>
          </cell>
          <cell r="J794">
            <v>8.9</v>
          </cell>
        </row>
        <row r="795">
          <cell r="B795" t="str">
            <v>CT5301002</v>
          </cell>
          <cell r="C795">
            <v>39270</v>
          </cell>
          <cell r="D795">
            <v>3930</v>
          </cell>
          <cell r="E795">
            <v>43200</v>
          </cell>
          <cell r="F795">
            <v>9.1</v>
          </cell>
          <cell r="G795">
            <v>43190</v>
          </cell>
          <cell r="H795">
            <v>39290</v>
          </cell>
          <cell r="I795">
            <v>3890</v>
          </cell>
          <cell r="J795">
            <v>9.0175511716217471</v>
          </cell>
        </row>
        <row r="796">
          <cell r="B796" t="str">
            <v>CT5301003</v>
          </cell>
          <cell r="C796">
            <v>39670</v>
          </cell>
          <cell r="D796">
            <v>3940</v>
          </cell>
          <cell r="E796">
            <v>43610</v>
          </cell>
          <cell r="F796">
            <v>9</v>
          </cell>
          <cell r="G796">
            <v>43330</v>
          </cell>
          <cell r="H796">
            <v>39420</v>
          </cell>
          <cell r="I796">
            <v>3910</v>
          </cell>
          <cell r="J796">
            <v>9.0234182668636151</v>
          </cell>
        </row>
        <row r="797">
          <cell r="B797" t="str">
            <v>CT5301004</v>
          </cell>
          <cell r="C797">
            <v>39380</v>
          </cell>
          <cell r="D797">
            <v>3280</v>
          </cell>
          <cell r="E797">
            <v>42660</v>
          </cell>
          <cell r="F797">
            <v>7.7</v>
          </cell>
          <cell r="G797">
            <v>43160</v>
          </cell>
          <cell r="H797">
            <v>39410</v>
          </cell>
          <cell r="I797">
            <v>3750</v>
          </cell>
          <cell r="J797">
            <v>8.6925545348177149</v>
          </cell>
        </row>
        <row r="798">
          <cell r="B798" t="str">
            <v>CT5301005</v>
          </cell>
          <cell r="C798">
            <v>39910</v>
          </cell>
          <cell r="D798">
            <v>3420</v>
          </cell>
          <cell r="E798">
            <v>43330</v>
          </cell>
          <cell r="F798">
            <v>7.9</v>
          </cell>
          <cell r="G798">
            <v>43190</v>
          </cell>
          <cell r="H798">
            <v>39510</v>
          </cell>
          <cell r="I798">
            <v>3680</v>
          </cell>
          <cell r="J798">
            <v>8.5308934656986235</v>
          </cell>
        </row>
        <row r="799">
          <cell r="B799" t="str">
            <v>CT5301006</v>
          </cell>
          <cell r="C799">
            <v>39280</v>
          </cell>
          <cell r="D799">
            <v>3470</v>
          </cell>
          <cell r="E799">
            <v>42750</v>
          </cell>
          <cell r="F799">
            <v>8.1</v>
          </cell>
          <cell r="G799">
            <v>43120</v>
          </cell>
          <cell r="H799">
            <v>39470</v>
          </cell>
          <cell r="I799">
            <v>3650</v>
          </cell>
          <cell r="J799">
            <v>8.4613362812019268</v>
          </cell>
        </row>
        <row r="800">
          <cell r="B800" t="str">
            <v>CT5301007</v>
          </cell>
          <cell r="C800">
            <v>39070</v>
          </cell>
          <cell r="D800">
            <v>3490</v>
          </cell>
          <cell r="E800">
            <v>42560</v>
          </cell>
          <cell r="F800">
            <v>8.1999999999999993</v>
          </cell>
          <cell r="G800">
            <v>43040</v>
          </cell>
          <cell r="H800">
            <v>39410</v>
          </cell>
          <cell r="I800">
            <v>3630</v>
          </cell>
          <cell r="J800">
            <v>8.4243613105373392</v>
          </cell>
        </row>
        <row r="801">
          <cell r="B801" t="str">
            <v>CT5301008</v>
          </cell>
          <cell r="C801" t="str">
            <v/>
          </cell>
          <cell r="D801" t="str">
            <v/>
          </cell>
          <cell r="E801" t="e">
            <v>#VALUE!</v>
          </cell>
          <cell r="F801" t="str">
            <v/>
          </cell>
          <cell r="G801" t="str">
            <v/>
          </cell>
          <cell r="H801" t="str">
            <v/>
          </cell>
          <cell r="I801" t="str">
            <v/>
          </cell>
          <cell r="J801" t="str">
            <v/>
          </cell>
        </row>
        <row r="802">
          <cell r="B802" t="str">
            <v>CT5301009</v>
          </cell>
          <cell r="C802" t="str">
            <v/>
          </cell>
          <cell r="D802" t="str">
            <v/>
          </cell>
          <cell r="E802" t="e">
            <v>#VALUE!</v>
          </cell>
          <cell r="F802" t="str">
            <v/>
          </cell>
          <cell r="G802" t="str">
            <v/>
          </cell>
          <cell r="H802" t="str">
            <v/>
          </cell>
          <cell r="I802" t="str">
            <v/>
          </cell>
          <cell r="J802" t="str">
            <v/>
          </cell>
        </row>
        <row r="803">
          <cell r="B803" t="str">
            <v>CT53010010</v>
          </cell>
          <cell r="C803" t="str">
            <v/>
          </cell>
          <cell r="D803" t="str">
            <v/>
          </cell>
          <cell r="E803" t="e">
            <v>#VALUE!</v>
          </cell>
          <cell r="F803" t="str">
            <v/>
          </cell>
          <cell r="G803" t="str">
            <v/>
          </cell>
          <cell r="H803" t="str">
            <v/>
          </cell>
          <cell r="I803" t="str">
            <v/>
          </cell>
          <cell r="J803" t="str">
            <v/>
          </cell>
        </row>
        <row r="804">
          <cell r="B804" t="str">
            <v>CT53010011</v>
          </cell>
          <cell r="C804" t="str">
            <v/>
          </cell>
          <cell r="D804" t="str">
            <v/>
          </cell>
          <cell r="E804" t="e">
            <v>#VALUE!</v>
          </cell>
          <cell r="F804" t="str">
            <v/>
          </cell>
          <cell r="G804" t="str">
            <v/>
          </cell>
          <cell r="H804" t="str">
            <v/>
          </cell>
          <cell r="I804" t="str">
            <v/>
          </cell>
          <cell r="J804" t="str">
            <v/>
          </cell>
        </row>
        <row r="805">
          <cell r="B805" t="str">
            <v>CT53010012</v>
          </cell>
          <cell r="C805" t="str">
            <v/>
          </cell>
          <cell r="D805" t="str">
            <v/>
          </cell>
          <cell r="E805" t="e">
            <v>#VALUE!</v>
          </cell>
          <cell r="F805" t="str">
            <v/>
          </cell>
          <cell r="G805" t="str">
            <v/>
          </cell>
          <cell r="H805" t="str">
            <v/>
          </cell>
          <cell r="I805" t="str">
            <v/>
          </cell>
          <cell r="J805" t="str">
            <v/>
          </cell>
        </row>
        <row r="806">
          <cell r="B806" t="str">
            <v>CT5300501</v>
          </cell>
          <cell r="C806">
            <v>29380</v>
          </cell>
          <cell r="D806">
            <v>2950</v>
          </cell>
          <cell r="E806">
            <v>32330</v>
          </cell>
          <cell r="F806">
            <v>9.1</v>
          </cell>
          <cell r="G806">
            <v>32330</v>
          </cell>
          <cell r="H806">
            <v>29380</v>
          </cell>
          <cell r="I806">
            <v>2950</v>
          </cell>
          <cell r="J806">
            <v>9.1</v>
          </cell>
        </row>
        <row r="807">
          <cell r="B807" t="str">
            <v>CT5300502</v>
          </cell>
          <cell r="C807">
            <v>29500</v>
          </cell>
          <cell r="D807">
            <v>2990</v>
          </cell>
          <cell r="E807">
            <v>32490</v>
          </cell>
          <cell r="F807">
            <v>9.1999999999999993</v>
          </cell>
          <cell r="G807">
            <v>32410</v>
          </cell>
          <cell r="H807">
            <v>29440</v>
          </cell>
          <cell r="I807">
            <v>2970</v>
          </cell>
          <cell r="J807">
            <v>9.1680422072412568</v>
          </cell>
        </row>
        <row r="808">
          <cell r="B808" t="str">
            <v>CT5300503</v>
          </cell>
          <cell r="C808">
            <v>29410</v>
          </cell>
          <cell r="D808">
            <v>2970</v>
          </cell>
          <cell r="E808">
            <v>32380</v>
          </cell>
          <cell r="F808">
            <v>9.1999999999999993</v>
          </cell>
          <cell r="G808">
            <v>32400</v>
          </cell>
          <cell r="H808">
            <v>29430</v>
          </cell>
          <cell r="I808">
            <v>2970</v>
          </cell>
          <cell r="J808">
            <v>9.1676011563667039</v>
          </cell>
        </row>
        <row r="809">
          <cell r="B809" t="str">
            <v>CT5300504</v>
          </cell>
          <cell r="C809">
            <v>29140</v>
          </cell>
          <cell r="D809">
            <v>2780</v>
          </cell>
          <cell r="E809">
            <v>31920</v>
          </cell>
          <cell r="F809">
            <v>8.6999999999999993</v>
          </cell>
          <cell r="G809">
            <v>32280</v>
          </cell>
          <cell r="H809">
            <v>29360</v>
          </cell>
          <cell r="I809">
            <v>2920</v>
          </cell>
          <cell r="J809">
            <v>9.0528891952384996</v>
          </cell>
        </row>
        <row r="810">
          <cell r="B810" t="str">
            <v>CT5300505</v>
          </cell>
          <cell r="C810">
            <v>29320</v>
          </cell>
          <cell r="D810">
            <v>2820</v>
          </cell>
          <cell r="E810">
            <v>32140</v>
          </cell>
          <cell r="F810">
            <v>8.8000000000000007</v>
          </cell>
          <cell r="G810">
            <v>32250</v>
          </cell>
          <cell r="H810">
            <v>29350</v>
          </cell>
          <cell r="I810">
            <v>2900</v>
          </cell>
          <cell r="J810">
            <v>8.9942824542038231</v>
          </cell>
        </row>
        <row r="811">
          <cell r="B811" t="str">
            <v>CT5300506</v>
          </cell>
          <cell r="C811">
            <v>29250</v>
          </cell>
          <cell r="D811">
            <v>3000</v>
          </cell>
          <cell r="E811">
            <v>32250</v>
          </cell>
          <cell r="F811">
            <v>9.3000000000000007</v>
          </cell>
          <cell r="G811">
            <v>32250</v>
          </cell>
          <cell r="H811">
            <v>29330</v>
          </cell>
          <cell r="I811">
            <v>2920</v>
          </cell>
          <cell r="J811">
            <v>9.0457610914446658</v>
          </cell>
        </row>
        <row r="812">
          <cell r="B812" t="str">
            <v>CT5300507</v>
          </cell>
          <cell r="C812">
            <v>29180</v>
          </cell>
          <cell r="D812">
            <v>2870</v>
          </cell>
          <cell r="E812">
            <v>32050</v>
          </cell>
          <cell r="F812">
            <v>9</v>
          </cell>
          <cell r="G812">
            <v>32220</v>
          </cell>
          <cell r="H812">
            <v>29310</v>
          </cell>
          <cell r="I812">
            <v>2910</v>
          </cell>
          <cell r="J812">
            <v>9.032306689661592</v>
          </cell>
        </row>
        <row r="813">
          <cell r="B813" t="str">
            <v>CT5300508</v>
          </cell>
          <cell r="C813" t="str">
            <v/>
          </cell>
          <cell r="D813" t="str">
            <v/>
          </cell>
          <cell r="E813" t="e">
            <v>#VALUE!</v>
          </cell>
          <cell r="F813" t="str">
            <v/>
          </cell>
          <cell r="G813" t="str">
            <v/>
          </cell>
          <cell r="H813" t="str">
            <v/>
          </cell>
          <cell r="I813" t="str">
            <v/>
          </cell>
          <cell r="J813" t="str">
            <v/>
          </cell>
        </row>
        <row r="814">
          <cell r="B814" t="str">
            <v>CT5300509</v>
          </cell>
          <cell r="C814" t="str">
            <v/>
          </cell>
          <cell r="D814" t="str">
            <v/>
          </cell>
          <cell r="E814" t="e">
            <v>#VALUE!</v>
          </cell>
          <cell r="F814" t="str">
            <v/>
          </cell>
          <cell r="G814" t="str">
            <v/>
          </cell>
          <cell r="H814" t="str">
            <v/>
          </cell>
          <cell r="I814" t="str">
            <v/>
          </cell>
          <cell r="J814" t="str">
            <v/>
          </cell>
        </row>
        <row r="815">
          <cell r="B815" t="str">
            <v>CT53005010</v>
          </cell>
          <cell r="C815" t="str">
            <v/>
          </cell>
          <cell r="D815" t="str">
            <v/>
          </cell>
          <cell r="E815" t="e">
            <v>#VALUE!</v>
          </cell>
          <cell r="F815" t="str">
            <v/>
          </cell>
          <cell r="G815" t="str">
            <v/>
          </cell>
          <cell r="H815" t="str">
            <v/>
          </cell>
          <cell r="I815" t="str">
            <v/>
          </cell>
          <cell r="J815" t="str">
            <v/>
          </cell>
        </row>
        <row r="816">
          <cell r="B816" t="str">
            <v>CT53005011</v>
          </cell>
          <cell r="C816" t="str">
            <v/>
          </cell>
          <cell r="D816" t="str">
            <v/>
          </cell>
          <cell r="E816" t="e">
            <v>#VALUE!</v>
          </cell>
          <cell r="F816" t="str">
            <v/>
          </cell>
          <cell r="G816" t="str">
            <v/>
          </cell>
          <cell r="H816" t="str">
            <v/>
          </cell>
          <cell r="I816" t="str">
            <v/>
          </cell>
          <cell r="J816" t="str">
            <v/>
          </cell>
        </row>
        <row r="817">
          <cell r="B817" t="str">
            <v>CT53005012</v>
          </cell>
          <cell r="C817" t="str">
            <v/>
          </cell>
          <cell r="D817" t="str">
            <v/>
          </cell>
          <cell r="E817" t="e">
            <v>#VALUE!</v>
          </cell>
          <cell r="F817" t="str">
            <v/>
          </cell>
          <cell r="G817" t="str">
            <v/>
          </cell>
          <cell r="H817" t="str">
            <v/>
          </cell>
          <cell r="I817" t="str">
            <v/>
          </cell>
          <cell r="J817" t="str">
            <v/>
          </cell>
        </row>
        <row r="818">
          <cell r="B818" t="str">
            <v>CN5306901</v>
          </cell>
          <cell r="C818">
            <v>1340</v>
          </cell>
          <cell r="D818">
            <v>250</v>
          </cell>
          <cell r="E818">
            <v>1590</v>
          </cell>
          <cell r="F818">
            <v>15.9</v>
          </cell>
          <cell r="G818">
            <v>1600</v>
          </cell>
          <cell r="H818">
            <v>1340</v>
          </cell>
          <cell r="I818">
            <v>250</v>
          </cell>
          <cell r="J818">
            <v>15.9</v>
          </cell>
        </row>
        <row r="819">
          <cell r="B819" t="str">
            <v>CN5306902</v>
          </cell>
          <cell r="C819">
            <v>1360</v>
          </cell>
          <cell r="D819">
            <v>230</v>
          </cell>
          <cell r="E819">
            <v>1590</v>
          </cell>
          <cell r="F819">
            <v>14.3</v>
          </cell>
          <cell r="G819">
            <v>1590</v>
          </cell>
          <cell r="H819">
            <v>1350</v>
          </cell>
          <cell r="I819">
            <v>240</v>
          </cell>
          <cell r="J819">
            <v>15.121031122288588</v>
          </cell>
        </row>
        <row r="820">
          <cell r="B820" t="str">
            <v>CN5306903</v>
          </cell>
          <cell r="C820">
            <v>1370</v>
          </cell>
          <cell r="D820">
            <v>230</v>
          </cell>
          <cell r="E820">
            <v>1600</v>
          </cell>
          <cell r="F820">
            <v>14.3</v>
          </cell>
          <cell r="G820">
            <v>1590</v>
          </cell>
          <cell r="H820">
            <v>1360</v>
          </cell>
          <cell r="I820">
            <v>240</v>
          </cell>
          <cell r="J820">
            <v>14.859773964001674</v>
          </cell>
        </row>
        <row r="821">
          <cell r="B821" t="str">
            <v>CN5306904</v>
          </cell>
          <cell r="C821">
            <v>1360</v>
          </cell>
          <cell r="D821">
            <v>190</v>
          </cell>
          <cell r="E821">
            <v>1550</v>
          </cell>
          <cell r="F821">
            <v>12.5</v>
          </cell>
          <cell r="G821">
            <v>1580</v>
          </cell>
          <cell r="H821">
            <v>1360</v>
          </cell>
          <cell r="I821">
            <v>230</v>
          </cell>
          <cell r="J821">
            <v>14.267676767676768</v>
          </cell>
        </row>
        <row r="822">
          <cell r="B822" t="str">
            <v>CN5306905</v>
          </cell>
          <cell r="C822">
            <v>1380</v>
          </cell>
          <cell r="D822">
            <v>190</v>
          </cell>
          <cell r="E822">
            <v>1570</v>
          </cell>
          <cell r="F822">
            <v>12.2</v>
          </cell>
          <cell r="G822">
            <v>1580</v>
          </cell>
          <cell r="H822">
            <v>1360</v>
          </cell>
          <cell r="I822">
            <v>220</v>
          </cell>
          <cell r="J822">
            <v>13.864642631246046</v>
          </cell>
        </row>
        <row r="823">
          <cell r="B823" t="str">
            <v>CN5306906</v>
          </cell>
          <cell r="C823">
            <v>1320</v>
          </cell>
          <cell r="D823">
            <v>200</v>
          </cell>
          <cell r="E823">
            <v>1520</v>
          </cell>
          <cell r="F823">
            <v>13.2</v>
          </cell>
          <cell r="G823">
            <v>1570</v>
          </cell>
          <cell r="H823">
            <v>1350</v>
          </cell>
          <cell r="I823">
            <v>220</v>
          </cell>
          <cell r="J823">
            <v>13.752122241086587</v>
          </cell>
        </row>
        <row r="824">
          <cell r="B824" t="str">
            <v>CN5306907</v>
          </cell>
          <cell r="C824">
            <v>1280</v>
          </cell>
          <cell r="D824">
            <v>170</v>
          </cell>
          <cell r="E824">
            <v>1450</v>
          </cell>
          <cell r="F824">
            <v>11.9</v>
          </cell>
          <cell r="G824">
            <v>1550</v>
          </cell>
          <cell r="H824">
            <v>1340</v>
          </cell>
          <cell r="I824">
            <v>210</v>
          </cell>
          <cell r="J824">
            <v>13.509787703336091</v>
          </cell>
        </row>
        <row r="825">
          <cell r="B825" t="str">
            <v>CN5306908</v>
          </cell>
          <cell r="C825" t="str">
            <v/>
          </cell>
          <cell r="D825" t="str">
            <v/>
          </cell>
          <cell r="E825" t="e">
            <v>#VALUE!</v>
          </cell>
          <cell r="F825" t="str">
            <v/>
          </cell>
          <cell r="G825" t="str">
            <v/>
          </cell>
          <cell r="H825" t="str">
            <v/>
          </cell>
          <cell r="I825" t="str">
            <v/>
          </cell>
          <cell r="J825" t="str">
            <v/>
          </cell>
        </row>
        <row r="826">
          <cell r="B826" t="str">
            <v>CN5306909</v>
          </cell>
          <cell r="C826" t="str">
            <v/>
          </cell>
          <cell r="D826" t="str">
            <v/>
          </cell>
          <cell r="E826" t="e">
            <v>#VALUE!</v>
          </cell>
          <cell r="F826" t="str">
            <v/>
          </cell>
          <cell r="G826" t="str">
            <v/>
          </cell>
          <cell r="H826" t="str">
            <v/>
          </cell>
          <cell r="I826" t="str">
            <v/>
          </cell>
          <cell r="J826" t="str">
            <v/>
          </cell>
        </row>
        <row r="827">
          <cell r="B827" t="str">
            <v>CN53069010</v>
          </cell>
          <cell r="C827" t="str">
            <v/>
          </cell>
          <cell r="D827" t="str">
            <v/>
          </cell>
          <cell r="E827" t="e">
            <v>#VALUE!</v>
          </cell>
          <cell r="F827" t="str">
            <v/>
          </cell>
          <cell r="G827" t="str">
            <v/>
          </cell>
          <cell r="H827" t="str">
            <v/>
          </cell>
          <cell r="I827" t="str">
            <v/>
          </cell>
          <cell r="J827" t="str">
            <v/>
          </cell>
        </row>
        <row r="828">
          <cell r="B828" t="str">
            <v>CN53069011</v>
          </cell>
          <cell r="C828" t="str">
            <v/>
          </cell>
          <cell r="D828" t="str">
            <v/>
          </cell>
          <cell r="E828" t="e">
            <v>#VALUE!</v>
          </cell>
          <cell r="F828" t="str">
            <v/>
          </cell>
          <cell r="G828" t="str">
            <v/>
          </cell>
          <cell r="H828" t="str">
            <v/>
          </cell>
          <cell r="I828" t="str">
            <v/>
          </cell>
          <cell r="J828" t="str">
            <v/>
          </cell>
        </row>
        <row r="829">
          <cell r="B829" t="str">
            <v>CN53069012</v>
          </cell>
          <cell r="C829" t="str">
            <v/>
          </cell>
          <cell r="D829" t="str">
            <v/>
          </cell>
          <cell r="E829" t="e">
            <v>#VALUE!</v>
          </cell>
          <cell r="F829" t="str">
            <v/>
          </cell>
          <cell r="G829" t="str">
            <v/>
          </cell>
          <cell r="H829" t="str">
            <v/>
          </cell>
          <cell r="I829" t="str">
            <v/>
          </cell>
          <cell r="J829" t="str">
            <v/>
          </cell>
        </row>
        <row r="830">
          <cell r="B830" t="str">
            <v>CN5306501</v>
          </cell>
          <cell r="C830">
            <v>15790</v>
          </cell>
          <cell r="D830">
            <v>2470</v>
          </cell>
          <cell r="E830">
            <v>18260</v>
          </cell>
          <cell r="F830">
            <v>13.5</v>
          </cell>
          <cell r="G830">
            <v>18260</v>
          </cell>
          <cell r="H830">
            <v>15790</v>
          </cell>
          <cell r="I830">
            <v>2470</v>
          </cell>
          <cell r="J830">
            <v>13.5</v>
          </cell>
        </row>
        <row r="831">
          <cell r="B831" t="str">
            <v>CN5306502</v>
          </cell>
          <cell r="C831">
            <v>15830</v>
          </cell>
          <cell r="D831">
            <v>2530</v>
          </cell>
          <cell r="E831">
            <v>18360</v>
          </cell>
          <cell r="F831">
            <v>13.8</v>
          </cell>
          <cell r="G831">
            <v>18310</v>
          </cell>
          <cell r="H831">
            <v>15810</v>
          </cell>
          <cell r="I831">
            <v>2500</v>
          </cell>
          <cell r="J831">
            <v>13.661814109742441</v>
          </cell>
        </row>
        <row r="832">
          <cell r="B832" t="str">
            <v>CN5306503</v>
          </cell>
          <cell r="C832">
            <v>15790</v>
          </cell>
          <cell r="D832">
            <v>2570</v>
          </cell>
          <cell r="E832">
            <v>18360</v>
          </cell>
          <cell r="F832">
            <v>14</v>
          </cell>
          <cell r="G832">
            <v>18320</v>
          </cell>
          <cell r="H832">
            <v>15800</v>
          </cell>
          <cell r="I832">
            <v>2520</v>
          </cell>
          <cell r="J832">
            <v>13.771648959394556</v>
          </cell>
        </row>
        <row r="833">
          <cell r="B833" t="str">
            <v>CN5306504</v>
          </cell>
          <cell r="C833">
            <v>16040</v>
          </cell>
          <cell r="D833">
            <v>2190</v>
          </cell>
          <cell r="E833">
            <v>18230</v>
          </cell>
          <cell r="F833">
            <v>12</v>
          </cell>
          <cell r="G833">
            <v>18300</v>
          </cell>
          <cell r="H833">
            <v>15860</v>
          </cell>
          <cell r="I833">
            <v>2440</v>
          </cell>
          <cell r="J833">
            <v>13.336976569437804</v>
          </cell>
        </row>
        <row r="834">
          <cell r="B834" t="str">
            <v>CN5306505</v>
          </cell>
          <cell r="C834">
            <v>16090</v>
          </cell>
          <cell r="D834">
            <v>2080</v>
          </cell>
          <cell r="E834">
            <v>18170</v>
          </cell>
          <cell r="F834">
            <v>11.4</v>
          </cell>
          <cell r="G834">
            <v>18270</v>
          </cell>
          <cell r="H834">
            <v>15910</v>
          </cell>
          <cell r="I834">
            <v>2370</v>
          </cell>
          <cell r="J834">
            <v>12.956821539977014</v>
          </cell>
        </row>
        <row r="835">
          <cell r="B835" t="str">
            <v>CN5306506</v>
          </cell>
          <cell r="C835">
            <v>16150</v>
          </cell>
          <cell r="D835">
            <v>2060</v>
          </cell>
          <cell r="E835">
            <v>18210</v>
          </cell>
          <cell r="F835">
            <v>11.3</v>
          </cell>
          <cell r="G835">
            <v>18260</v>
          </cell>
          <cell r="H835">
            <v>15950</v>
          </cell>
          <cell r="I835">
            <v>2320</v>
          </cell>
          <cell r="J835">
            <v>12.685259545885957</v>
          </cell>
        </row>
        <row r="836">
          <cell r="B836" t="str">
            <v>CN5306507</v>
          </cell>
          <cell r="C836">
            <v>15820</v>
          </cell>
          <cell r="D836">
            <v>1990</v>
          </cell>
          <cell r="E836">
            <v>17810</v>
          </cell>
          <cell r="F836">
            <v>11.2</v>
          </cell>
          <cell r="G836">
            <v>18200</v>
          </cell>
          <cell r="H836">
            <v>15930</v>
          </cell>
          <cell r="I836">
            <v>2270</v>
          </cell>
          <cell r="J836">
            <v>12.475861527592434</v>
          </cell>
        </row>
        <row r="837">
          <cell r="B837" t="str">
            <v>CN5306508</v>
          </cell>
          <cell r="C837" t="str">
            <v/>
          </cell>
          <cell r="D837" t="str">
            <v/>
          </cell>
          <cell r="E837" t="e">
            <v>#VALUE!</v>
          </cell>
          <cell r="F837" t="str">
            <v/>
          </cell>
          <cell r="G837" t="str">
            <v/>
          </cell>
          <cell r="H837" t="str">
            <v/>
          </cell>
          <cell r="I837" t="str">
            <v/>
          </cell>
          <cell r="J837" t="str">
            <v/>
          </cell>
        </row>
        <row r="838">
          <cell r="B838" t="str">
            <v>CN5306509</v>
          </cell>
          <cell r="C838" t="str">
            <v/>
          </cell>
          <cell r="D838" t="str">
            <v/>
          </cell>
          <cell r="E838" t="e">
            <v>#VALUE!</v>
          </cell>
          <cell r="F838" t="str">
            <v/>
          </cell>
          <cell r="G838" t="str">
            <v/>
          </cell>
          <cell r="H838" t="str">
            <v/>
          </cell>
          <cell r="I838" t="str">
            <v/>
          </cell>
          <cell r="J838" t="str">
            <v/>
          </cell>
        </row>
        <row r="839">
          <cell r="B839" t="str">
            <v>CN53065010</v>
          </cell>
          <cell r="C839" t="str">
            <v/>
          </cell>
          <cell r="D839" t="str">
            <v/>
          </cell>
          <cell r="E839" t="e">
            <v>#VALUE!</v>
          </cell>
          <cell r="F839" t="str">
            <v/>
          </cell>
          <cell r="G839" t="str">
            <v/>
          </cell>
          <cell r="H839" t="str">
            <v/>
          </cell>
          <cell r="I839" t="str">
            <v/>
          </cell>
          <cell r="J839" t="str">
            <v/>
          </cell>
        </row>
        <row r="840">
          <cell r="B840" t="str">
            <v>CN53065011</v>
          </cell>
          <cell r="C840" t="str">
            <v/>
          </cell>
          <cell r="D840" t="str">
            <v/>
          </cell>
          <cell r="E840" t="e">
            <v>#VALUE!</v>
          </cell>
          <cell r="F840" t="str">
            <v/>
          </cell>
          <cell r="G840" t="str">
            <v/>
          </cell>
          <cell r="H840" t="str">
            <v/>
          </cell>
          <cell r="I840" t="str">
            <v/>
          </cell>
          <cell r="J840" t="str">
            <v/>
          </cell>
        </row>
        <row r="841">
          <cell r="B841" t="str">
            <v>CN53065012</v>
          </cell>
          <cell r="C841" t="str">
            <v/>
          </cell>
          <cell r="D841" t="str">
            <v/>
          </cell>
          <cell r="E841" t="e">
            <v>#VALUE!</v>
          </cell>
          <cell r="F841" t="str">
            <v/>
          </cell>
          <cell r="G841" t="str">
            <v/>
          </cell>
          <cell r="H841" t="str">
            <v/>
          </cell>
          <cell r="I841" t="str">
            <v/>
          </cell>
          <cell r="J841" t="str">
            <v/>
          </cell>
        </row>
        <row r="842">
          <cell r="B842" t="str">
            <v>CN5305901</v>
          </cell>
          <cell r="C842">
            <v>4440</v>
          </cell>
          <cell r="D842">
            <v>780</v>
          </cell>
          <cell r="E842">
            <v>5220</v>
          </cell>
          <cell r="F842">
            <v>15</v>
          </cell>
          <cell r="G842">
            <v>5220</v>
          </cell>
          <cell r="H842">
            <v>4440</v>
          </cell>
          <cell r="I842">
            <v>780</v>
          </cell>
          <cell r="J842">
            <v>15</v>
          </cell>
        </row>
        <row r="843">
          <cell r="B843" t="str">
            <v>CN5305902</v>
          </cell>
          <cell r="C843">
            <v>4450</v>
          </cell>
          <cell r="D843">
            <v>770</v>
          </cell>
          <cell r="E843">
            <v>5220</v>
          </cell>
          <cell r="F843">
            <v>14.7</v>
          </cell>
          <cell r="G843">
            <v>5220</v>
          </cell>
          <cell r="H843">
            <v>4450</v>
          </cell>
          <cell r="I843">
            <v>770</v>
          </cell>
          <cell r="J843">
            <v>14.82226693494299</v>
          </cell>
        </row>
        <row r="844">
          <cell r="B844" t="str">
            <v>CN5305903</v>
          </cell>
          <cell r="C844">
            <v>4440</v>
          </cell>
          <cell r="D844">
            <v>760</v>
          </cell>
          <cell r="E844">
            <v>5200</v>
          </cell>
          <cell r="F844">
            <v>14.7</v>
          </cell>
          <cell r="G844">
            <v>5210</v>
          </cell>
          <cell r="H844">
            <v>4440</v>
          </cell>
          <cell r="I844">
            <v>770</v>
          </cell>
          <cell r="J844">
            <v>14.774325533819205</v>
          </cell>
        </row>
        <row r="845">
          <cell r="B845" t="str">
            <v>CN5305904</v>
          </cell>
          <cell r="C845">
            <v>4440</v>
          </cell>
          <cell r="D845">
            <v>680</v>
          </cell>
          <cell r="E845">
            <v>5120</v>
          </cell>
          <cell r="F845">
            <v>13.3</v>
          </cell>
          <cell r="G845">
            <v>5190</v>
          </cell>
          <cell r="H845">
            <v>4440</v>
          </cell>
          <cell r="I845">
            <v>750</v>
          </cell>
          <cell r="J845">
            <v>14.421919391342033</v>
          </cell>
        </row>
        <row r="846">
          <cell r="B846" t="str">
            <v>CN5305905</v>
          </cell>
          <cell r="C846">
            <v>4450</v>
          </cell>
          <cell r="D846">
            <v>650</v>
          </cell>
          <cell r="E846">
            <v>5100</v>
          </cell>
          <cell r="F846">
            <v>12.7</v>
          </cell>
          <cell r="G846">
            <v>5170</v>
          </cell>
          <cell r="H846">
            <v>4440</v>
          </cell>
          <cell r="I846">
            <v>730</v>
          </cell>
          <cell r="J846">
            <v>14.090223820016234</v>
          </cell>
        </row>
        <row r="847">
          <cell r="B847" t="str">
            <v>CN5305906</v>
          </cell>
          <cell r="C847">
            <v>4390</v>
          </cell>
          <cell r="D847">
            <v>620</v>
          </cell>
          <cell r="E847">
            <v>5010</v>
          </cell>
          <cell r="F847">
            <v>12.4</v>
          </cell>
          <cell r="G847">
            <v>5150</v>
          </cell>
          <cell r="H847">
            <v>4440</v>
          </cell>
          <cell r="I847">
            <v>710</v>
          </cell>
          <cell r="J847">
            <v>13.816556548775749</v>
          </cell>
        </row>
        <row r="848">
          <cell r="B848" t="str">
            <v>CN5305907</v>
          </cell>
          <cell r="C848">
            <v>4290</v>
          </cell>
          <cell r="D848">
            <v>540</v>
          </cell>
          <cell r="E848">
            <v>4830</v>
          </cell>
          <cell r="F848">
            <v>11.2</v>
          </cell>
          <cell r="G848">
            <v>5100</v>
          </cell>
          <cell r="H848">
            <v>4410</v>
          </cell>
          <cell r="I848">
            <v>690</v>
          </cell>
          <cell r="J848">
            <v>13.468862007168457</v>
          </cell>
        </row>
        <row r="849">
          <cell r="B849" t="str">
            <v>CN5305908</v>
          </cell>
          <cell r="C849" t="str">
            <v/>
          </cell>
          <cell r="D849" t="str">
            <v/>
          </cell>
          <cell r="E849" t="e">
            <v>#VALUE!</v>
          </cell>
          <cell r="F849" t="str">
            <v/>
          </cell>
          <cell r="G849" t="str">
            <v/>
          </cell>
          <cell r="H849" t="str">
            <v/>
          </cell>
          <cell r="I849" t="str">
            <v/>
          </cell>
          <cell r="J849" t="str">
            <v/>
          </cell>
        </row>
        <row r="850">
          <cell r="B850" t="str">
            <v>CN5305909</v>
          </cell>
          <cell r="C850" t="str">
            <v/>
          </cell>
          <cell r="D850" t="str">
            <v/>
          </cell>
          <cell r="E850" t="e">
            <v>#VALUE!</v>
          </cell>
          <cell r="F850" t="str">
            <v/>
          </cell>
          <cell r="G850" t="str">
            <v/>
          </cell>
          <cell r="H850" t="str">
            <v/>
          </cell>
          <cell r="I850" t="str">
            <v/>
          </cell>
          <cell r="J850" t="str">
            <v/>
          </cell>
        </row>
        <row r="851">
          <cell r="B851" t="str">
            <v>CN53059010</v>
          </cell>
          <cell r="C851" t="str">
            <v/>
          </cell>
          <cell r="D851" t="str">
            <v/>
          </cell>
          <cell r="E851" t="e">
            <v>#VALUE!</v>
          </cell>
          <cell r="F851" t="str">
            <v/>
          </cell>
          <cell r="G851" t="str">
            <v/>
          </cell>
          <cell r="H851" t="str">
            <v/>
          </cell>
          <cell r="I851" t="str">
            <v/>
          </cell>
          <cell r="J851" t="str">
            <v/>
          </cell>
        </row>
        <row r="852">
          <cell r="B852" t="str">
            <v>CN53059011</v>
          </cell>
          <cell r="C852" t="str">
            <v/>
          </cell>
          <cell r="D852" t="str">
            <v/>
          </cell>
          <cell r="E852" t="e">
            <v>#VALUE!</v>
          </cell>
          <cell r="F852" t="str">
            <v/>
          </cell>
          <cell r="G852" t="str">
            <v/>
          </cell>
          <cell r="H852" t="str">
            <v/>
          </cell>
          <cell r="I852" t="str">
            <v/>
          </cell>
          <cell r="J852" t="str">
            <v/>
          </cell>
        </row>
        <row r="853">
          <cell r="B853" t="str">
            <v>CN53059012</v>
          </cell>
          <cell r="C853" t="str">
            <v/>
          </cell>
          <cell r="D853" t="str">
            <v/>
          </cell>
          <cell r="E853" t="e">
            <v>#VALUE!</v>
          </cell>
          <cell r="F853" t="str">
            <v/>
          </cell>
          <cell r="G853" t="str">
            <v/>
          </cell>
          <cell r="H853" t="str">
            <v/>
          </cell>
          <cell r="I853" t="str">
            <v/>
          </cell>
          <cell r="J853" t="str">
            <v/>
          </cell>
        </row>
        <row r="854">
          <cell r="B854" t="str">
            <v>CN5305501</v>
          </cell>
          <cell r="C854">
            <v>6900</v>
          </cell>
          <cell r="D854">
            <v>690</v>
          </cell>
          <cell r="E854">
            <v>7590</v>
          </cell>
          <cell r="F854">
            <v>9.1</v>
          </cell>
          <cell r="G854">
            <v>7600</v>
          </cell>
          <cell r="H854">
            <v>6900</v>
          </cell>
          <cell r="I854">
            <v>690</v>
          </cell>
          <cell r="J854">
            <v>9.1</v>
          </cell>
        </row>
        <row r="855">
          <cell r="B855" t="str">
            <v>CN5305502</v>
          </cell>
          <cell r="C855">
            <v>6930</v>
          </cell>
          <cell r="D855">
            <v>650</v>
          </cell>
          <cell r="E855">
            <v>7580</v>
          </cell>
          <cell r="F855">
            <v>8.6</v>
          </cell>
          <cell r="G855">
            <v>7590</v>
          </cell>
          <cell r="H855">
            <v>6920</v>
          </cell>
          <cell r="I855">
            <v>670</v>
          </cell>
          <cell r="J855">
            <v>8.8512489290186522</v>
          </cell>
        </row>
        <row r="856">
          <cell r="B856" t="str">
            <v>CN5305503</v>
          </cell>
          <cell r="C856">
            <v>7060</v>
          </cell>
          <cell r="D856">
            <v>640</v>
          </cell>
          <cell r="E856">
            <v>7700</v>
          </cell>
          <cell r="F856">
            <v>8.3000000000000007</v>
          </cell>
          <cell r="G856">
            <v>7620</v>
          </cell>
          <cell r="H856">
            <v>6960</v>
          </cell>
          <cell r="I856">
            <v>660</v>
          </cell>
          <cell r="J856">
            <v>8.6635178868188589</v>
          </cell>
        </row>
        <row r="857">
          <cell r="B857" t="str">
            <v>CN5305504</v>
          </cell>
          <cell r="C857">
            <v>7260</v>
          </cell>
          <cell r="D857">
            <v>560</v>
          </cell>
          <cell r="E857">
            <v>7820</v>
          </cell>
          <cell r="F857">
            <v>7.2</v>
          </cell>
          <cell r="G857">
            <v>7670</v>
          </cell>
          <cell r="H857">
            <v>7040</v>
          </cell>
          <cell r="I857">
            <v>640</v>
          </cell>
          <cell r="J857">
            <v>8.2855467222729047</v>
          </cell>
        </row>
        <row r="858">
          <cell r="B858" t="str">
            <v>CN5305505</v>
          </cell>
          <cell r="C858">
            <v>7670</v>
          </cell>
          <cell r="D858">
            <v>550</v>
          </cell>
          <cell r="E858">
            <v>8220</v>
          </cell>
          <cell r="F858">
            <v>6.7</v>
          </cell>
          <cell r="G858">
            <v>7780</v>
          </cell>
          <cell r="H858">
            <v>7160</v>
          </cell>
          <cell r="I858">
            <v>620</v>
          </cell>
          <cell r="J858">
            <v>7.9564144736842115</v>
          </cell>
        </row>
        <row r="859">
          <cell r="B859" t="str">
            <v>CN5305506</v>
          </cell>
          <cell r="C859">
            <v>7730</v>
          </cell>
          <cell r="D859">
            <v>540</v>
          </cell>
          <cell r="E859">
            <v>8270</v>
          </cell>
          <cell r="F859">
            <v>6.6</v>
          </cell>
          <cell r="G859">
            <v>7870</v>
          </cell>
          <cell r="H859">
            <v>7260</v>
          </cell>
          <cell r="I859">
            <v>610</v>
          </cell>
          <cell r="J859">
            <v>7.7134986225895306</v>
          </cell>
        </row>
        <row r="860">
          <cell r="B860" t="str">
            <v>CN5305507</v>
          </cell>
          <cell r="C860">
            <v>8180</v>
          </cell>
          <cell r="D860">
            <v>490</v>
          </cell>
          <cell r="E860">
            <v>8670</v>
          </cell>
          <cell r="F860">
            <v>5.7</v>
          </cell>
          <cell r="G860">
            <v>7980</v>
          </cell>
          <cell r="H860">
            <v>7390</v>
          </cell>
          <cell r="I860">
            <v>590</v>
          </cell>
          <cell r="J860">
            <v>7.3936160690309531</v>
          </cell>
        </row>
        <row r="861">
          <cell r="B861" t="str">
            <v>CN5305508</v>
          </cell>
          <cell r="C861" t="str">
            <v/>
          </cell>
          <cell r="D861" t="str">
            <v/>
          </cell>
          <cell r="E861" t="e">
            <v>#VALUE!</v>
          </cell>
          <cell r="F861" t="str">
            <v/>
          </cell>
          <cell r="G861" t="str">
            <v/>
          </cell>
          <cell r="H861" t="str">
            <v/>
          </cell>
          <cell r="I861" t="str">
            <v/>
          </cell>
          <cell r="J861" t="str">
            <v/>
          </cell>
        </row>
        <row r="862">
          <cell r="B862" t="str">
            <v>CN5305509</v>
          </cell>
          <cell r="C862" t="str">
            <v/>
          </cell>
          <cell r="D862" t="str">
            <v/>
          </cell>
          <cell r="E862" t="e">
            <v>#VALUE!</v>
          </cell>
          <cell r="F862" t="str">
            <v/>
          </cell>
          <cell r="G862" t="str">
            <v/>
          </cell>
          <cell r="H862" t="str">
            <v/>
          </cell>
          <cell r="I862" t="str">
            <v/>
          </cell>
          <cell r="J862" t="str">
            <v/>
          </cell>
        </row>
        <row r="863">
          <cell r="B863" t="str">
            <v>CN53055010</v>
          </cell>
          <cell r="C863" t="str">
            <v/>
          </cell>
          <cell r="D863" t="str">
            <v/>
          </cell>
          <cell r="E863" t="e">
            <v>#VALUE!</v>
          </cell>
          <cell r="F863" t="str">
            <v/>
          </cell>
          <cell r="G863" t="str">
            <v/>
          </cell>
          <cell r="H863" t="str">
            <v/>
          </cell>
          <cell r="I863" t="str">
            <v/>
          </cell>
          <cell r="J863" t="str">
            <v/>
          </cell>
        </row>
        <row r="864">
          <cell r="B864" t="str">
            <v>CN53055011</v>
          </cell>
          <cell r="C864" t="str">
            <v/>
          </cell>
          <cell r="D864" t="str">
            <v/>
          </cell>
          <cell r="E864" t="e">
            <v>#VALUE!</v>
          </cell>
          <cell r="F864" t="str">
            <v/>
          </cell>
          <cell r="G864" t="str">
            <v/>
          </cell>
          <cell r="H864" t="str">
            <v/>
          </cell>
          <cell r="I864" t="str">
            <v/>
          </cell>
          <cell r="J864" t="str">
            <v/>
          </cell>
        </row>
        <row r="865">
          <cell r="B865" t="str">
            <v>CN53055012</v>
          </cell>
          <cell r="C865" t="str">
            <v/>
          </cell>
          <cell r="D865" t="str">
            <v/>
          </cell>
          <cell r="E865" t="e">
            <v>#VALUE!</v>
          </cell>
          <cell r="F865" t="str">
            <v/>
          </cell>
          <cell r="G865" t="str">
            <v/>
          </cell>
          <cell r="H865" t="str">
            <v/>
          </cell>
          <cell r="I865" t="str">
            <v/>
          </cell>
          <cell r="J865" t="str">
            <v/>
          </cell>
        </row>
        <row r="866">
          <cell r="B866" t="str">
            <v>CN5305101</v>
          </cell>
          <cell r="C866">
            <v>4550</v>
          </cell>
          <cell r="D866">
            <v>770</v>
          </cell>
          <cell r="E866">
            <v>5320</v>
          </cell>
          <cell r="F866">
            <v>14.5</v>
          </cell>
          <cell r="G866">
            <v>5330</v>
          </cell>
          <cell r="H866">
            <v>4550</v>
          </cell>
          <cell r="I866">
            <v>770</v>
          </cell>
          <cell r="J866">
            <v>14.5</v>
          </cell>
        </row>
        <row r="867">
          <cell r="B867" t="str">
            <v>CN5305102</v>
          </cell>
          <cell r="C867">
            <v>4550</v>
          </cell>
          <cell r="D867">
            <v>780</v>
          </cell>
          <cell r="E867">
            <v>5330</v>
          </cell>
          <cell r="F867">
            <v>14.6</v>
          </cell>
          <cell r="G867">
            <v>5330</v>
          </cell>
          <cell r="H867">
            <v>4550</v>
          </cell>
          <cell r="I867">
            <v>780</v>
          </cell>
          <cell r="J867">
            <v>14.55927907631653</v>
          </cell>
        </row>
        <row r="868">
          <cell r="B868" t="str">
            <v>CN5305103</v>
          </cell>
          <cell r="C868">
            <v>4530</v>
          </cell>
          <cell r="D868">
            <v>760</v>
          </cell>
          <cell r="E868">
            <v>5290</v>
          </cell>
          <cell r="F868">
            <v>14.4</v>
          </cell>
          <cell r="G868">
            <v>5320</v>
          </cell>
          <cell r="H868">
            <v>4540</v>
          </cell>
          <cell r="I868">
            <v>770</v>
          </cell>
          <cell r="J868">
            <v>14.509656383245547</v>
          </cell>
        </row>
        <row r="869">
          <cell r="B869" t="str">
            <v>CN5305104</v>
          </cell>
          <cell r="C869">
            <v>4520</v>
          </cell>
          <cell r="D869">
            <v>670</v>
          </cell>
          <cell r="E869">
            <v>5190</v>
          </cell>
          <cell r="F869">
            <v>12.9</v>
          </cell>
          <cell r="G869">
            <v>5290</v>
          </cell>
          <cell r="H869">
            <v>4540</v>
          </cell>
          <cell r="I869">
            <v>750</v>
          </cell>
          <cell r="J869">
            <v>14.122209610291335</v>
          </cell>
        </row>
        <row r="870">
          <cell r="B870" t="str">
            <v>CN5305105</v>
          </cell>
          <cell r="C870">
            <v>4640</v>
          </cell>
          <cell r="D870">
            <v>650</v>
          </cell>
          <cell r="E870">
            <v>5290</v>
          </cell>
          <cell r="F870">
            <v>12.2</v>
          </cell>
          <cell r="G870">
            <v>5290</v>
          </cell>
          <cell r="H870">
            <v>4560</v>
          </cell>
          <cell r="I870">
            <v>730</v>
          </cell>
          <cell r="J870">
            <v>13.747303893745036</v>
          </cell>
        </row>
        <row r="871">
          <cell r="B871" t="str">
            <v>CN5305106</v>
          </cell>
          <cell r="C871">
            <v>4700</v>
          </cell>
          <cell r="D871">
            <v>650</v>
          </cell>
          <cell r="E871">
            <v>5350</v>
          </cell>
          <cell r="F871">
            <v>12.1</v>
          </cell>
          <cell r="G871">
            <v>5300</v>
          </cell>
          <cell r="H871">
            <v>4580</v>
          </cell>
          <cell r="I871">
            <v>710</v>
          </cell>
          <cell r="J871">
            <v>13.46468588694448</v>
          </cell>
        </row>
        <row r="872">
          <cell r="B872" t="str">
            <v>CN5305107</v>
          </cell>
          <cell r="C872">
            <v>4580</v>
          </cell>
          <cell r="D872">
            <v>600</v>
          </cell>
          <cell r="E872">
            <v>5180</v>
          </cell>
          <cell r="F872">
            <v>11.6</v>
          </cell>
          <cell r="G872">
            <v>5280</v>
          </cell>
          <cell r="H872">
            <v>4580</v>
          </cell>
          <cell r="I872">
            <v>700</v>
          </cell>
          <cell r="J872">
            <v>13.205249627925856</v>
          </cell>
        </row>
        <row r="873">
          <cell r="B873" t="str">
            <v>CN5305108</v>
          </cell>
          <cell r="C873" t="str">
            <v/>
          </cell>
          <cell r="D873" t="str">
            <v/>
          </cell>
          <cell r="E873" t="e">
            <v>#VALUE!</v>
          </cell>
          <cell r="F873" t="str">
            <v/>
          </cell>
          <cell r="G873" t="str">
            <v/>
          </cell>
          <cell r="H873" t="str">
            <v/>
          </cell>
          <cell r="I873" t="str">
            <v/>
          </cell>
          <cell r="J873" t="str">
            <v/>
          </cell>
        </row>
        <row r="874">
          <cell r="B874" t="str">
            <v>CN5305109</v>
          </cell>
          <cell r="C874" t="str">
            <v/>
          </cell>
          <cell r="D874" t="str">
            <v/>
          </cell>
          <cell r="E874" t="e">
            <v>#VALUE!</v>
          </cell>
          <cell r="F874" t="str">
            <v/>
          </cell>
          <cell r="G874" t="str">
            <v/>
          </cell>
          <cell r="H874" t="str">
            <v/>
          </cell>
          <cell r="I874" t="str">
            <v/>
          </cell>
          <cell r="J874" t="str">
            <v/>
          </cell>
        </row>
        <row r="875">
          <cell r="B875" t="str">
            <v>CN53051010</v>
          </cell>
          <cell r="C875" t="str">
            <v/>
          </cell>
          <cell r="D875" t="str">
            <v/>
          </cell>
          <cell r="E875" t="e">
            <v>#VALUE!</v>
          </cell>
          <cell r="F875" t="str">
            <v/>
          </cell>
          <cell r="G875" t="str">
            <v/>
          </cell>
          <cell r="H875" t="str">
            <v/>
          </cell>
          <cell r="I875" t="str">
            <v/>
          </cell>
          <cell r="J875" t="str">
            <v/>
          </cell>
        </row>
        <row r="876">
          <cell r="B876" t="str">
            <v>CN53051011</v>
          </cell>
          <cell r="C876" t="str">
            <v/>
          </cell>
          <cell r="D876" t="str">
            <v/>
          </cell>
          <cell r="E876" t="e">
            <v>#VALUE!</v>
          </cell>
          <cell r="F876" t="str">
            <v/>
          </cell>
          <cell r="G876" t="str">
            <v/>
          </cell>
          <cell r="H876" t="str">
            <v/>
          </cell>
          <cell r="I876" t="str">
            <v/>
          </cell>
          <cell r="J876" t="str">
            <v/>
          </cell>
        </row>
        <row r="877">
          <cell r="B877" t="str">
            <v>CN53051012</v>
          </cell>
          <cell r="C877" t="str">
            <v/>
          </cell>
          <cell r="D877" t="str">
            <v/>
          </cell>
          <cell r="E877" t="e">
            <v>#VALUE!</v>
          </cell>
          <cell r="F877" t="str">
            <v/>
          </cell>
          <cell r="G877" t="str">
            <v/>
          </cell>
          <cell r="H877" t="str">
            <v/>
          </cell>
          <cell r="I877" t="str">
            <v/>
          </cell>
          <cell r="J877" t="str">
            <v/>
          </cell>
        </row>
        <row r="878">
          <cell r="B878" t="str">
            <v>CN5304901</v>
          </cell>
          <cell r="C878">
            <v>7670</v>
          </cell>
          <cell r="D878">
            <v>1220</v>
          </cell>
          <cell r="E878">
            <v>8890</v>
          </cell>
          <cell r="F878">
            <v>13.7</v>
          </cell>
          <cell r="G878">
            <v>8890</v>
          </cell>
          <cell r="H878">
            <v>7670</v>
          </cell>
          <cell r="I878">
            <v>1220</v>
          </cell>
          <cell r="J878">
            <v>13.7</v>
          </cell>
        </row>
        <row r="879">
          <cell r="B879" t="str">
            <v>CN5304902</v>
          </cell>
          <cell r="C879">
            <v>7590</v>
          </cell>
          <cell r="D879">
            <v>1200</v>
          </cell>
          <cell r="E879">
            <v>8790</v>
          </cell>
          <cell r="F879">
            <v>13.6</v>
          </cell>
          <cell r="G879">
            <v>8840</v>
          </cell>
          <cell r="H879">
            <v>7630</v>
          </cell>
          <cell r="I879">
            <v>1210</v>
          </cell>
          <cell r="J879">
            <v>13.683674623826224</v>
          </cell>
        </row>
        <row r="880">
          <cell r="B880" t="str">
            <v>CN5304903</v>
          </cell>
          <cell r="C880">
            <v>7550</v>
          </cell>
          <cell r="D880">
            <v>1230</v>
          </cell>
          <cell r="E880">
            <v>8780</v>
          </cell>
          <cell r="F880">
            <v>14</v>
          </cell>
          <cell r="G880">
            <v>8820</v>
          </cell>
          <cell r="H880">
            <v>7600</v>
          </cell>
          <cell r="I880">
            <v>1220</v>
          </cell>
          <cell r="J880">
            <v>13.795449391488395</v>
          </cell>
        </row>
        <row r="881">
          <cell r="B881" t="str">
            <v>CN5304904</v>
          </cell>
          <cell r="C881">
            <v>7660</v>
          </cell>
          <cell r="D881">
            <v>1110</v>
          </cell>
          <cell r="E881">
            <v>8770</v>
          </cell>
          <cell r="F881">
            <v>12.7</v>
          </cell>
          <cell r="G881">
            <v>8810</v>
          </cell>
          <cell r="H881">
            <v>7620</v>
          </cell>
          <cell r="I881">
            <v>1190</v>
          </cell>
          <cell r="J881">
            <v>13.521030822500993</v>
          </cell>
        </row>
        <row r="882">
          <cell r="B882" t="str">
            <v>CN5304905</v>
          </cell>
          <cell r="C882">
            <v>7850</v>
          </cell>
          <cell r="D882">
            <v>1090</v>
          </cell>
          <cell r="E882">
            <v>8940</v>
          </cell>
          <cell r="F882">
            <v>12.2</v>
          </cell>
          <cell r="G882">
            <v>8840</v>
          </cell>
          <cell r="H882">
            <v>7660</v>
          </cell>
          <cell r="I882">
            <v>1170</v>
          </cell>
          <cell r="J882">
            <v>13.257730091900946</v>
          </cell>
        </row>
        <row r="883">
          <cell r="B883" t="str">
            <v>CN5304906</v>
          </cell>
          <cell r="C883">
            <v>7940</v>
          </cell>
          <cell r="D883">
            <v>1060</v>
          </cell>
          <cell r="E883">
            <v>9000</v>
          </cell>
          <cell r="F883">
            <v>11.8</v>
          </cell>
          <cell r="G883">
            <v>8860</v>
          </cell>
          <cell r="H883">
            <v>7710</v>
          </cell>
          <cell r="I883">
            <v>1150</v>
          </cell>
          <cell r="J883">
            <v>13.014535813008896</v>
          </cell>
        </row>
        <row r="884">
          <cell r="B884" t="str">
            <v>CN5304907</v>
          </cell>
          <cell r="C884">
            <v>7940</v>
          </cell>
          <cell r="D884">
            <v>960</v>
          </cell>
          <cell r="E884">
            <v>8900</v>
          </cell>
          <cell r="F884">
            <v>10.7</v>
          </cell>
          <cell r="G884">
            <v>8870</v>
          </cell>
          <cell r="H884">
            <v>7740</v>
          </cell>
          <cell r="I884">
            <v>1130</v>
          </cell>
          <cell r="J884">
            <v>12.688670887095476</v>
          </cell>
        </row>
        <row r="885">
          <cell r="B885" t="str">
            <v>CN5304908</v>
          </cell>
          <cell r="C885" t="str">
            <v/>
          </cell>
          <cell r="D885" t="str">
            <v/>
          </cell>
          <cell r="E885" t="e">
            <v>#VALUE!</v>
          </cell>
          <cell r="F885" t="str">
            <v/>
          </cell>
          <cell r="G885" t="str">
            <v/>
          </cell>
          <cell r="H885" t="str">
            <v/>
          </cell>
          <cell r="I885" t="str">
            <v/>
          </cell>
          <cell r="J885" t="str">
            <v/>
          </cell>
        </row>
        <row r="886">
          <cell r="B886" t="str">
            <v>CN5304909</v>
          </cell>
          <cell r="C886" t="str">
            <v/>
          </cell>
          <cell r="D886" t="str">
            <v/>
          </cell>
          <cell r="E886" t="e">
            <v>#VALUE!</v>
          </cell>
          <cell r="F886" t="str">
            <v/>
          </cell>
          <cell r="G886" t="str">
            <v/>
          </cell>
          <cell r="H886" t="str">
            <v/>
          </cell>
          <cell r="I886" t="str">
            <v/>
          </cell>
          <cell r="J886" t="str">
            <v/>
          </cell>
        </row>
        <row r="887">
          <cell r="B887" t="str">
            <v>CN53049010</v>
          </cell>
          <cell r="C887" t="str">
            <v/>
          </cell>
          <cell r="D887" t="str">
            <v/>
          </cell>
          <cell r="E887" t="e">
            <v>#VALUE!</v>
          </cell>
          <cell r="F887" t="str">
            <v/>
          </cell>
          <cell r="G887" t="str">
            <v/>
          </cell>
          <cell r="H887" t="str">
            <v/>
          </cell>
          <cell r="I887" t="str">
            <v/>
          </cell>
          <cell r="J887" t="str">
            <v/>
          </cell>
        </row>
        <row r="888">
          <cell r="B888" t="str">
            <v>CN53049011</v>
          </cell>
          <cell r="C888" t="str">
            <v/>
          </cell>
          <cell r="D888" t="str">
            <v/>
          </cell>
          <cell r="E888" t="e">
            <v>#VALUE!</v>
          </cell>
          <cell r="F888" t="str">
            <v/>
          </cell>
          <cell r="G888" t="str">
            <v/>
          </cell>
          <cell r="H888" t="str">
            <v/>
          </cell>
          <cell r="I888" t="str">
            <v/>
          </cell>
          <cell r="J888" t="str">
            <v/>
          </cell>
        </row>
        <row r="889">
          <cell r="B889" t="str">
            <v>CN53049012</v>
          </cell>
          <cell r="C889" t="str">
            <v/>
          </cell>
          <cell r="D889" t="str">
            <v/>
          </cell>
          <cell r="E889" t="e">
            <v>#VALUE!</v>
          </cell>
          <cell r="F889" t="str">
            <v/>
          </cell>
          <cell r="G889" t="str">
            <v/>
          </cell>
          <cell r="H889" t="str">
            <v/>
          </cell>
          <cell r="I889" t="str">
            <v/>
          </cell>
          <cell r="J889" t="str">
            <v/>
          </cell>
        </row>
        <row r="890">
          <cell r="B890" t="str">
            <v>CN5304701</v>
          </cell>
          <cell r="C890">
            <v>16570</v>
          </cell>
          <cell r="D890">
            <v>2510</v>
          </cell>
          <cell r="E890">
            <v>19080</v>
          </cell>
          <cell r="F890">
            <v>13.1</v>
          </cell>
          <cell r="G890">
            <v>19080</v>
          </cell>
          <cell r="H890">
            <v>16570</v>
          </cell>
          <cell r="I890">
            <v>2510</v>
          </cell>
          <cell r="J890">
            <v>13.1</v>
          </cell>
        </row>
        <row r="891">
          <cell r="B891" t="str">
            <v>CN5304702</v>
          </cell>
          <cell r="C891">
            <v>16850</v>
          </cell>
          <cell r="D891">
            <v>2500</v>
          </cell>
          <cell r="E891">
            <v>19350</v>
          </cell>
          <cell r="F891">
            <v>12.9</v>
          </cell>
          <cell r="G891">
            <v>19210</v>
          </cell>
          <cell r="H891">
            <v>16710</v>
          </cell>
          <cell r="I891">
            <v>2500</v>
          </cell>
          <cell r="J891">
            <v>13.026052104208416</v>
          </cell>
        </row>
        <row r="892">
          <cell r="B892" t="str">
            <v>CN5304703</v>
          </cell>
          <cell r="C892">
            <v>17620</v>
          </cell>
          <cell r="D892">
            <v>2470</v>
          </cell>
          <cell r="E892">
            <v>20090</v>
          </cell>
          <cell r="F892">
            <v>12.3</v>
          </cell>
          <cell r="G892">
            <v>19510</v>
          </cell>
          <cell r="H892">
            <v>17010</v>
          </cell>
          <cell r="I892">
            <v>2490</v>
          </cell>
          <cell r="J892">
            <v>12.780246069719754</v>
          </cell>
        </row>
        <row r="893">
          <cell r="B893" t="str">
            <v>CN5304704</v>
          </cell>
          <cell r="C893">
            <v>17930</v>
          </cell>
          <cell r="D893">
            <v>2140</v>
          </cell>
          <cell r="E893">
            <v>20070</v>
          </cell>
          <cell r="F893">
            <v>10.7</v>
          </cell>
          <cell r="G893">
            <v>19650</v>
          </cell>
          <cell r="H893">
            <v>17240</v>
          </cell>
          <cell r="I893">
            <v>2410</v>
          </cell>
          <cell r="J893">
            <v>12.241210378306846</v>
          </cell>
        </row>
        <row r="894">
          <cell r="B894" t="str">
            <v>CN5304705</v>
          </cell>
          <cell r="C894">
            <v>18260</v>
          </cell>
          <cell r="D894">
            <v>2050</v>
          </cell>
          <cell r="E894">
            <v>20310</v>
          </cell>
          <cell r="F894">
            <v>10.1</v>
          </cell>
          <cell r="G894">
            <v>19780</v>
          </cell>
          <cell r="H894">
            <v>17450</v>
          </cell>
          <cell r="I894">
            <v>2330</v>
          </cell>
          <cell r="J894">
            <v>11.798905954559704</v>
          </cell>
        </row>
        <row r="895">
          <cell r="B895" t="str">
            <v>CN5304706</v>
          </cell>
          <cell r="C895">
            <v>20270</v>
          </cell>
          <cell r="D895">
            <v>2060</v>
          </cell>
          <cell r="E895">
            <v>22330</v>
          </cell>
          <cell r="F895">
            <v>9.1999999999999993</v>
          </cell>
          <cell r="G895">
            <v>20200</v>
          </cell>
          <cell r="H895">
            <v>17920</v>
          </cell>
          <cell r="I895">
            <v>2290</v>
          </cell>
          <cell r="J895">
            <v>11.326591216550632</v>
          </cell>
        </row>
        <row r="896">
          <cell r="B896" t="str">
            <v>CN5304707</v>
          </cell>
          <cell r="C896">
            <v>24700</v>
          </cell>
          <cell r="D896">
            <v>1990</v>
          </cell>
          <cell r="E896">
            <v>26690</v>
          </cell>
          <cell r="F896">
            <v>7.5</v>
          </cell>
          <cell r="G896">
            <v>21130</v>
          </cell>
          <cell r="H896">
            <v>18890</v>
          </cell>
          <cell r="I896">
            <v>2250</v>
          </cell>
          <cell r="J896">
            <v>10.630458884291933</v>
          </cell>
        </row>
        <row r="897">
          <cell r="B897" t="str">
            <v>CN5304708</v>
          </cell>
          <cell r="C897" t="str">
            <v/>
          </cell>
          <cell r="D897" t="str">
            <v/>
          </cell>
          <cell r="E897" t="e">
            <v>#VALUE!</v>
          </cell>
          <cell r="F897" t="str">
            <v/>
          </cell>
          <cell r="G897" t="str">
            <v/>
          </cell>
          <cell r="H897" t="str">
            <v/>
          </cell>
          <cell r="I897" t="str">
            <v/>
          </cell>
          <cell r="J897" t="str">
            <v/>
          </cell>
        </row>
        <row r="898">
          <cell r="B898" t="str">
            <v>CN5304709</v>
          </cell>
          <cell r="C898" t="str">
            <v/>
          </cell>
          <cell r="D898" t="str">
            <v/>
          </cell>
          <cell r="E898" t="e">
            <v>#VALUE!</v>
          </cell>
          <cell r="F898" t="str">
            <v/>
          </cell>
          <cell r="G898" t="str">
            <v/>
          </cell>
          <cell r="H898" t="str">
            <v/>
          </cell>
          <cell r="I898" t="str">
            <v/>
          </cell>
          <cell r="J898" t="str">
            <v/>
          </cell>
        </row>
        <row r="899">
          <cell r="B899" t="str">
            <v>CN53047010</v>
          </cell>
          <cell r="C899" t="str">
            <v/>
          </cell>
          <cell r="D899" t="str">
            <v/>
          </cell>
          <cell r="E899" t="e">
            <v>#VALUE!</v>
          </cell>
          <cell r="F899" t="str">
            <v/>
          </cell>
          <cell r="G899" t="str">
            <v/>
          </cell>
          <cell r="H899" t="str">
            <v/>
          </cell>
          <cell r="I899" t="str">
            <v/>
          </cell>
          <cell r="J899" t="str">
            <v/>
          </cell>
        </row>
        <row r="900">
          <cell r="B900" t="str">
            <v>CN53047011</v>
          </cell>
          <cell r="C900" t="str">
            <v/>
          </cell>
          <cell r="D900" t="str">
            <v/>
          </cell>
          <cell r="E900" t="e">
            <v>#VALUE!</v>
          </cell>
          <cell r="F900" t="str">
            <v/>
          </cell>
          <cell r="G900" t="str">
            <v/>
          </cell>
          <cell r="H900" t="str">
            <v/>
          </cell>
          <cell r="I900" t="str">
            <v/>
          </cell>
          <cell r="J900" t="str">
            <v/>
          </cell>
        </row>
        <row r="901">
          <cell r="B901" t="str">
            <v>CN53047012</v>
          </cell>
          <cell r="C901" t="str">
            <v/>
          </cell>
          <cell r="D901" t="str">
            <v/>
          </cell>
          <cell r="E901" t="e">
            <v>#VALUE!</v>
          </cell>
          <cell r="F901" t="str">
            <v/>
          </cell>
          <cell r="G901" t="str">
            <v/>
          </cell>
          <cell r="H901" t="str">
            <v/>
          </cell>
          <cell r="I901" t="str">
            <v/>
          </cell>
          <cell r="J901" t="str">
            <v/>
          </cell>
        </row>
        <row r="902">
          <cell r="B902" t="str">
            <v>CN5304301</v>
          </cell>
          <cell r="C902">
            <v>4290</v>
          </cell>
          <cell r="D902">
            <v>480</v>
          </cell>
          <cell r="E902">
            <v>4770</v>
          </cell>
          <cell r="F902">
            <v>10.1</v>
          </cell>
          <cell r="G902">
            <v>4770</v>
          </cell>
          <cell r="H902">
            <v>4290</v>
          </cell>
          <cell r="I902">
            <v>480</v>
          </cell>
          <cell r="J902">
            <v>10.1</v>
          </cell>
        </row>
        <row r="903">
          <cell r="B903" t="str">
            <v>CN5304302</v>
          </cell>
          <cell r="C903">
            <v>4360</v>
          </cell>
          <cell r="D903">
            <v>460</v>
          </cell>
          <cell r="E903">
            <v>4820</v>
          </cell>
          <cell r="F903">
            <v>9.6</v>
          </cell>
          <cell r="G903">
            <v>4800</v>
          </cell>
          <cell r="H903">
            <v>4320</v>
          </cell>
          <cell r="I903">
            <v>470</v>
          </cell>
          <cell r="J903">
            <v>9.8499061913696053</v>
          </cell>
        </row>
        <row r="904">
          <cell r="B904" t="str">
            <v>CN5304303</v>
          </cell>
          <cell r="C904">
            <v>4460</v>
          </cell>
          <cell r="D904">
            <v>470</v>
          </cell>
          <cell r="E904">
            <v>4930</v>
          </cell>
          <cell r="F904">
            <v>9.6</v>
          </cell>
          <cell r="G904">
            <v>4840</v>
          </cell>
          <cell r="H904">
            <v>4370</v>
          </cell>
          <cell r="I904">
            <v>470</v>
          </cell>
          <cell r="J904">
            <v>9.7653292959878879</v>
          </cell>
        </row>
        <row r="905">
          <cell r="B905" t="str">
            <v>CN5304304</v>
          </cell>
          <cell r="C905">
            <v>4470</v>
          </cell>
          <cell r="D905">
            <v>400</v>
          </cell>
          <cell r="E905">
            <v>4870</v>
          </cell>
          <cell r="F905">
            <v>8.1999999999999993</v>
          </cell>
          <cell r="G905">
            <v>4850</v>
          </cell>
          <cell r="H905">
            <v>4400</v>
          </cell>
          <cell r="I905">
            <v>450</v>
          </cell>
          <cell r="J905">
            <v>9.369685100242231</v>
          </cell>
        </row>
        <row r="906">
          <cell r="B906" t="str">
            <v>CN5304305</v>
          </cell>
          <cell r="C906">
            <v>4530</v>
          </cell>
          <cell r="D906">
            <v>400</v>
          </cell>
          <cell r="E906">
            <v>4930</v>
          </cell>
          <cell r="F906">
            <v>8.1</v>
          </cell>
          <cell r="G906">
            <v>4870</v>
          </cell>
          <cell r="H906">
            <v>4420</v>
          </cell>
          <cell r="I906">
            <v>440</v>
          </cell>
          <cell r="J906">
            <v>9.1110837134755265</v>
          </cell>
        </row>
        <row r="907">
          <cell r="B907" t="str">
            <v>CN5304306</v>
          </cell>
          <cell r="C907">
            <v>4420</v>
          </cell>
          <cell r="D907">
            <v>400</v>
          </cell>
          <cell r="E907">
            <v>4820</v>
          </cell>
          <cell r="F907">
            <v>8.1999999999999993</v>
          </cell>
          <cell r="G907">
            <v>4860</v>
          </cell>
          <cell r="H907">
            <v>4420</v>
          </cell>
          <cell r="I907">
            <v>440</v>
          </cell>
          <cell r="J907">
            <v>8.9649020482382404</v>
          </cell>
        </row>
        <row r="908">
          <cell r="B908" t="str">
            <v>CN5304307</v>
          </cell>
          <cell r="C908">
            <v>4340</v>
          </cell>
          <cell r="D908">
            <v>380</v>
          </cell>
          <cell r="E908">
            <v>4720</v>
          </cell>
          <cell r="F908">
            <v>8</v>
          </cell>
          <cell r="G908">
            <v>4840</v>
          </cell>
          <cell r="H908">
            <v>4410</v>
          </cell>
          <cell r="I908">
            <v>430</v>
          </cell>
          <cell r="J908">
            <v>8.8286532612867994</v>
          </cell>
        </row>
        <row r="909">
          <cell r="B909" t="str">
            <v>CN5304308</v>
          </cell>
          <cell r="C909" t="str">
            <v/>
          </cell>
          <cell r="D909" t="str">
            <v/>
          </cell>
          <cell r="E909" t="e">
            <v>#VALUE!</v>
          </cell>
          <cell r="F909" t="str">
            <v/>
          </cell>
          <cell r="G909" t="str">
            <v/>
          </cell>
          <cell r="H909" t="str">
            <v/>
          </cell>
          <cell r="I909" t="str">
            <v/>
          </cell>
          <cell r="J909" t="str">
            <v/>
          </cell>
        </row>
        <row r="910">
          <cell r="B910" t="str">
            <v>CN5304309</v>
          </cell>
          <cell r="C910" t="str">
            <v/>
          </cell>
          <cell r="D910" t="str">
            <v/>
          </cell>
          <cell r="E910" t="e">
            <v>#VALUE!</v>
          </cell>
          <cell r="F910" t="str">
            <v/>
          </cell>
          <cell r="G910" t="str">
            <v/>
          </cell>
          <cell r="H910" t="str">
            <v/>
          </cell>
          <cell r="I910" t="str">
            <v/>
          </cell>
          <cell r="J910" t="str">
            <v/>
          </cell>
        </row>
        <row r="911">
          <cell r="B911" t="str">
            <v>CN53043010</v>
          </cell>
          <cell r="C911" t="str">
            <v/>
          </cell>
          <cell r="D911" t="str">
            <v/>
          </cell>
          <cell r="E911" t="e">
            <v>#VALUE!</v>
          </cell>
          <cell r="F911" t="str">
            <v/>
          </cell>
          <cell r="G911" t="str">
            <v/>
          </cell>
          <cell r="H911" t="str">
            <v/>
          </cell>
          <cell r="I911" t="str">
            <v/>
          </cell>
          <cell r="J911" t="str">
            <v/>
          </cell>
        </row>
        <row r="912">
          <cell r="B912" t="str">
            <v>CN53043011</v>
          </cell>
          <cell r="C912" t="str">
            <v/>
          </cell>
          <cell r="D912" t="str">
            <v/>
          </cell>
          <cell r="E912" t="e">
            <v>#VALUE!</v>
          </cell>
          <cell r="F912" t="str">
            <v/>
          </cell>
          <cell r="G912" t="str">
            <v/>
          </cell>
          <cell r="H912" t="str">
            <v/>
          </cell>
          <cell r="I912" t="str">
            <v/>
          </cell>
          <cell r="J912" t="str">
            <v/>
          </cell>
        </row>
        <row r="913">
          <cell r="B913" t="str">
            <v>CN53043012</v>
          </cell>
          <cell r="C913" t="str">
            <v/>
          </cell>
          <cell r="D913" t="str">
            <v/>
          </cell>
          <cell r="E913" t="e">
            <v>#VALUE!</v>
          </cell>
          <cell r="F913" t="str">
            <v/>
          </cell>
          <cell r="G913" t="str">
            <v/>
          </cell>
          <cell r="H913" t="str">
            <v/>
          </cell>
          <cell r="I913" t="str">
            <v/>
          </cell>
          <cell r="J913" t="str">
            <v/>
          </cell>
        </row>
        <row r="914">
          <cell r="B914" t="str">
            <v>CN5303901</v>
          </cell>
          <cell r="C914">
            <v>9050</v>
          </cell>
          <cell r="D914">
            <v>1330</v>
          </cell>
          <cell r="E914">
            <v>10380</v>
          </cell>
          <cell r="F914">
            <v>12.8</v>
          </cell>
          <cell r="G914">
            <v>10380</v>
          </cell>
          <cell r="H914">
            <v>9050</v>
          </cell>
          <cell r="I914">
            <v>1330</v>
          </cell>
          <cell r="J914">
            <v>12.8</v>
          </cell>
        </row>
        <row r="915">
          <cell r="B915" t="str">
            <v>CN5303902</v>
          </cell>
          <cell r="C915">
            <v>9380</v>
          </cell>
          <cell r="D915">
            <v>1300</v>
          </cell>
          <cell r="E915">
            <v>10680</v>
          </cell>
          <cell r="F915">
            <v>12.2</v>
          </cell>
          <cell r="G915">
            <v>10530</v>
          </cell>
          <cell r="H915">
            <v>9210</v>
          </cell>
          <cell r="I915">
            <v>1320</v>
          </cell>
          <cell r="J915">
            <v>12.489908344018616</v>
          </cell>
        </row>
        <row r="916">
          <cell r="B916" t="str">
            <v>CN5303903</v>
          </cell>
          <cell r="C916">
            <v>9430</v>
          </cell>
          <cell r="D916">
            <v>1300</v>
          </cell>
          <cell r="E916">
            <v>10730</v>
          </cell>
          <cell r="F916">
            <v>12.1</v>
          </cell>
          <cell r="G916">
            <v>10590</v>
          </cell>
          <cell r="H916">
            <v>9280</v>
          </cell>
          <cell r="I916">
            <v>1310</v>
          </cell>
          <cell r="J916">
            <v>12.351312228585815</v>
          </cell>
        </row>
        <row r="917">
          <cell r="B917" t="str">
            <v>CN5303904</v>
          </cell>
          <cell r="C917">
            <v>9690</v>
          </cell>
          <cell r="D917">
            <v>1150</v>
          </cell>
          <cell r="E917">
            <v>10840</v>
          </cell>
          <cell r="F917">
            <v>10.6</v>
          </cell>
          <cell r="G917">
            <v>10660</v>
          </cell>
          <cell r="H917">
            <v>9390</v>
          </cell>
          <cell r="I917">
            <v>1270</v>
          </cell>
          <cell r="J917">
            <v>11.902862505865791</v>
          </cell>
        </row>
        <row r="918">
          <cell r="B918" t="str">
            <v>CN5303905</v>
          </cell>
          <cell r="C918">
            <v>9800</v>
          </cell>
          <cell r="D918">
            <v>1120</v>
          </cell>
          <cell r="E918">
            <v>10920</v>
          </cell>
          <cell r="F918">
            <v>10.199999999999999</v>
          </cell>
          <cell r="G918">
            <v>10710</v>
          </cell>
          <cell r="H918">
            <v>9470</v>
          </cell>
          <cell r="I918">
            <v>1240</v>
          </cell>
          <cell r="J918">
            <v>11.558793312786026</v>
          </cell>
        </row>
        <row r="919">
          <cell r="B919" t="str">
            <v>CN5303906</v>
          </cell>
          <cell r="C919">
            <v>10270</v>
          </cell>
          <cell r="D919">
            <v>1180</v>
          </cell>
          <cell r="E919">
            <v>11450</v>
          </cell>
          <cell r="F919">
            <v>10.3</v>
          </cell>
          <cell r="G919">
            <v>10830</v>
          </cell>
          <cell r="H919">
            <v>9600</v>
          </cell>
          <cell r="I919">
            <v>1230</v>
          </cell>
          <cell r="J919">
            <v>11.342759989537337</v>
          </cell>
        </row>
        <row r="920">
          <cell r="B920" t="str">
            <v>CN5303907</v>
          </cell>
          <cell r="C920">
            <v>10440</v>
          </cell>
          <cell r="D920">
            <v>970</v>
          </cell>
          <cell r="E920">
            <v>11410</v>
          </cell>
          <cell r="F920">
            <v>8.5</v>
          </cell>
          <cell r="G920">
            <v>10910</v>
          </cell>
          <cell r="H920">
            <v>9720</v>
          </cell>
          <cell r="I920">
            <v>1190</v>
          </cell>
          <cell r="J920">
            <v>10.921037132049788</v>
          </cell>
        </row>
        <row r="921">
          <cell r="B921" t="str">
            <v>CN5303908</v>
          </cell>
          <cell r="C921" t="str">
            <v/>
          </cell>
          <cell r="D921" t="str">
            <v/>
          </cell>
          <cell r="E921" t="e">
            <v>#VALUE!</v>
          </cell>
          <cell r="F921" t="str">
            <v/>
          </cell>
          <cell r="G921" t="str">
            <v/>
          </cell>
          <cell r="H921" t="str">
            <v/>
          </cell>
          <cell r="I921" t="str">
            <v/>
          </cell>
          <cell r="J921" t="str">
            <v/>
          </cell>
        </row>
        <row r="922">
          <cell r="B922" t="str">
            <v>CN5303909</v>
          </cell>
          <cell r="C922" t="str">
            <v/>
          </cell>
          <cell r="D922" t="str">
            <v/>
          </cell>
          <cell r="E922" t="e">
            <v>#VALUE!</v>
          </cell>
          <cell r="F922" t="str">
            <v/>
          </cell>
          <cell r="G922" t="str">
            <v/>
          </cell>
          <cell r="H922" t="str">
            <v/>
          </cell>
          <cell r="I922" t="str">
            <v/>
          </cell>
          <cell r="J922" t="str">
            <v/>
          </cell>
        </row>
        <row r="923">
          <cell r="B923" t="str">
            <v>CN53039010</v>
          </cell>
          <cell r="C923" t="str">
            <v/>
          </cell>
          <cell r="D923" t="str">
            <v/>
          </cell>
          <cell r="E923" t="e">
            <v>#VALUE!</v>
          </cell>
          <cell r="F923" t="str">
            <v/>
          </cell>
          <cell r="G923" t="str">
            <v/>
          </cell>
          <cell r="H923" t="str">
            <v/>
          </cell>
          <cell r="I923" t="str">
            <v/>
          </cell>
          <cell r="J923" t="str">
            <v/>
          </cell>
        </row>
        <row r="924">
          <cell r="B924" t="str">
            <v>CN53039011</v>
          </cell>
          <cell r="C924" t="str">
            <v/>
          </cell>
          <cell r="D924" t="str">
            <v/>
          </cell>
          <cell r="E924" t="e">
            <v>#VALUE!</v>
          </cell>
          <cell r="F924" t="str">
            <v/>
          </cell>
          <cell r="G924" t="str">
            <v/>
          </cell>
          <cell r="H924" t="str">
            <v/>
          </cell>
          <cell r="I924" t="str">
            <v/>
          </cell>
          <cell r="J924" t="str">
            <v/>
          </cell>
        </row>
        <row r="925">
          <cell r="B925" t="str">
            <v>CN53039012</v>
          </cell>
          <cell r="C925" t="str">
            <v/>
          </cell>
          <cell r="D925" t="str">
            <v/>
          </cell>
          <cell r="E925" t="e">
            <v>#VALUE!</v>
          </cell>
          <cell r="F925" t="str">
            <v/>
          </cell>
          <cell r="G925" t="str">
            <v/>
          </cell>
          <cell r="H925" t="str">
            <v/>
          </cell>
          <cell r="I925" t="str">
            <v/>
          </cell>
          <cell r="J925" t="str">
            <v/>
          </cell>
        </row>
        <row r="926">
          <cell r="B926" t="str">
            <v>CN5303101</v>
          </cell>
          <cell r="C926">
            <v>11210</v>
          </cell>
          <cell r="D926">
            <v>1320</v>
          </cell>
          <cell r="E926">
            <v>12530</v>
          </cell>
          <cell r="F926">
            <v>10.5</v>
          </cell>
          <cell r="G926">
            <v>12530</v>
          </cell>
          <cell r="H926">
            <v>11210</v>
          </cell>
          <cell r="I926">
            <v>1320</v>
          </cell>
          <cell r="J926">
            <v>10.5</v>
          </cell>
        </row>
        <row r="927">
          <cell r="B927" t="str">
            <v>CN5303102</v>
          </cell>
          <cell r="C927">
            <v>11130</v>
          </cell>
          <cell r="D927">
            <v>1340</v>
          </cell>
          <cell r="E927">
            <v>12470</v>
          </cell>
          <cell r="F927">
            <v>10.7</v>
          </cell>
          <cell r="G927">
            <v>12500</v>
          </cell>
          <cell r="H927">
            <v>11170</v>
          </cell>
          <cell r="I927">
            <v>1330</v>
          </cell>
          <cell r="J927">
            <v>10.634126825365072</v>
          </cell>
        </row>
        <row r="928">
          <cell r="B928" t="str">
            <v>CN5303103</v>
          </cell>
          <cell r="C928">
            <v>11220</v>
          </cell>
          <cell r="D928">
            <v>1360</v>
          </cell>
          <cell r="E928">
            <v>12580</v>
          </cell>
          <cell r="F928">
            <v>10.8</v>
          </cell>
          <cell r="G928">
            <v>12530</v>
          </cell>
          <cell r="H928">
            <v>11190</v>
          </cell>
          <cell r="I928">
            <v>1340</v>
          </cell>
          <cell r="J928">
            <v>10.694802948455253</v>
          </cell>
        </row>
        <row r="929">
          <cell r="B929" t="str">
            <v>CN5303104</v>
          </cell>
          <cell r="C929">
            <v>11240</v>
          </cell>
          <cell r="D929">
            <v>1190</v>
          </cell>
          <cell r="E929">
            <v>12430</v>
          </cell>
          <cell r="F929">
            <v>9.6</v>
          </cell>
          <cell r="G929">
            <v>12500</v>
          </cell>
          <cell r="H929">
            <v>11200</v>
          </cell>
          <cell r="I929">
            <v>1300</v>
          </cell>
          <cell r="J929">
            <v>10.415916816636672</v>
          </cell>
        </row>
        <row r="930">
          <cell r="B930" t="str">
            <v>CN5303105</v>
          </cell>
          <cell r="C930">
            <v>11460</v>
          </cell>
          <cell r="D930">
            <v>1190</v>
          </cell>
          <cell r="E930">
            <v>12650</v>
          </cell>
          <cell r="F930">
            <v>9.4</v>
          </cell>
          <cell r="G930">
            <v>12530</v>
          </cell>
          <cell r="H930">
            <v>11250</v>
          </cell>
          <cell r="I930">
            <v>1280</v>
          </cell>
          <cell r="J930">
            <v>10.217824942152715</v>
          </cell>
        </row>
        <row r="931">
          <cell r="B931" t="str">
            <v>CN5303106</v>
          </cell>
          <cell r="C931">
            <v>11670</v>
          </cell>
          <cell r="D931">
            <v>1220</v>
          </cell>
          <cell r="E931">
            <v>12890</v>
          </cell>
          <cell r="F931">
            <v>9.5</v>
          </cell>
          <cell r="G931">
            <v>12590</v>
          </cell>
          <cell r="H931">
            <v>11320</v>
          </cell>
          <cell r="I931">
            <v>1270</v>
          </cell>
          <cell r="J931">
            <v>10.092508039861833</v>
          </cell>
        </row>
        <row r="932">
          <cell r="B932" t="str">
            <v>CN5303107</v>
          </cell>
          <cell r="C932">
            <v>11450</v>
          </cell>
          <cell r="D932">
            <v>1150</v>
          </cell>
          <cell r="E932">
            <v>12600</v>
          </cell>
          <cell r="F932">
            <v>9.1</v>
          </cell>
          <cell r="G932">
            <v>12590</v>
          </cell>
          <cell r="H932">
            <v>11340</v>
          </cell>
          <cell r="I932">
            <v>1250</v>
          </cell>
          <cell r="J932">
            <v>9.9515636875120528</v>
          </cell>
        </row>
        <row r="933">
          <cell r="B933" t="str">
            <v>CN5303108</v>
          </cell>
          <cell r="C933" t="str">
            <v/>
          </cell>
          <cell r="D933" t="str">
            <v/>
          </cell>
          <cell r="E933" t="e">
            <v>#VALUE!</v>
          </cell>
          <cell r="F933" t="str">
            <v/>
          </cell>
          <cell r="G933" t="str">
            <v/>
          </cell>
          <cell r="H933" t="str">
            <v/>
          </cell>
          <cell r="I933" t="str">
            <v/>
          </cell>
          <cell r="J933" t="str">
            <v/>
          </cell>
        </row>
        <row r="934">
          <cell r="B934" t="str">
            <v>CN5303109</v>
          </cell>
          <cell r="C934" t="str">
            <v/>
          </cell>
          <cell r="D934" t="str">
            <v/>
          </cell>
          <cell r="E934" t="e">
            <v>#VALUE!</v>
          </cell>
          <cell r="F934" t="str">
            <v/>
          </cell>
          <cell r="G934" t="str">
            <v/>
          </cell>
          <cell r="H934" t="str">
            <v/>
          </cell>
          <cell r="I934" t="str">
            <v/>
          </cell>
          <cell r="J934" t="str">
            <v/>
          </cell>
        </row>
        <row r="935">
          <cell r="B935" t="str">
            <v>CN53031010</v>
          </cell>
          <cell r="C935" t="str">
            <v/>
          </cell>
          <cell r="D935" t="str">
            <v/>
          </cell>
          <cell r="E935" t="e">
            <v>#VALUE!</v>
          </cell>
          <cell r="F935" t="str">
            <v/>
          </cell>
          <cell r="G935" t="str">
            <v/>
          </cell>
          <cell r="H935" t="str">
            <v/>
          </cell>
          <cell r="I935" t="str">
            <v/>
          </cell>
          <cell r="J935" t="str">
            <v/>
          </cell>
        </row>
        <row r="936">
          <cell r="B936" t="str">
            <v>CN53031011</v>
          </cell>
          <cell r="C936" t="str">
            <v/>
          </cell>
          <cell r="D936" t="str">
            <v/>
          </cell>
          <cell r="E936" t="e">
            <v>#VALUE!</v>
          </cell>
          <cell r="F936" t="str">
            <v/>
          </cell>
          <cell r="G936" t="str">
            <v/>
          </cell>
          <cell r="H936" t="str">
            <v/>
          </cell>
          <cell r="I936" t="str">
            <v/>
          </cell>
          <cell r="J936" t="str">
            <v/>
          </cell>
        </row>
        <row r="937">
          <cell r="B937" t="str">
            <v>CN53031012</v>
          </cell>
          <cell r="C937" t="str">
            <v/>
          </cell>
          <cell r="D937" t="str">
            <v/>
          </cell>
          <cell r="E937" t="e">
            <v>#VALUE!</v>
          </cell>
          <cell r="F937" t="str">
            <v/>
          </cell>
          <cell r="G937" t="str">
            <v/>
          </cell>
          <cell r="H937" t="str">
            <v/>
          </cell>
          <cell r="I937" t="str">
            <v/>
          </cell>
          <cell r="J937" t="str">
            <v/>
          </cell>
        </row>
        <row r="938">
          <cell r="B938" t="str">
            <v>CN5302301</v>
          </cell>
          <cell r="C938">
            <v>900</v>
          </cell>
          <cell r="D938">
            <v>90</v>
          </cell>
          <cell r="E938">
            <v>990</v>
          </cell>
          <cell r="F938">
            <v>9.4</v>
          </cell>
          <cell r="G938">
            <v>990</v>
          </cell>
          <cell r="H938">
            <v>900</v>
          </cell>
          <cell r="I938">
            <v>90</v>
          </cell>
          <cell r="J938">
            <v>9.4</v>
          </cell>
        </row>
        <row r="939">
          <cell r="B939" t="str">
            <v>CN5302302</v>
          </cell>
          <cell r="C939">
            <v>910</v>
          </cell>
          <cell r="D939">
            <v>90</v>
          </cell>
          <cell r="E939">
            <v>1000</v>
          </cell>
          <cell r="F939">
            <v>8.9</v>
          </cell>
          <cell r="G939">
            <v>1000</v>
          </cell>
          <cell r="H939">
            <v>910</v>
          </cell>
          <cell r="I939">
            <v>90</v>
          </cell>
          <cell r="J939">
            <v>9.1228070175438596</v>
          </cell>
        </row>
        <row r="940">
          <cell r="B940" t="str">
            <v>CN5302303</v>
          </cell>
          <cell r="C940">
            <v>930</v>
          </cell>
          <cell r="D940">
            <v>90</v>
          </cell>
          <cell r="E940">
            <v>1020</v>
          </cell>
          <cell r="F940">
            <v>8.5</v>
          </cell>
          <cell r="G940">
            <v>1000</v>
          </cell>
          <cell r="H940">
            <v>910</v>
          </cell>
          <cell r="I940">
            <v>90</v>
          </cell>
          <cell r="J940">
            <v>8.9155023286759807</v>
          </cell>
        </row>
        <row r="941">
          <cell r="B941" t="str">
            <v>CN5302304</v>
          </cell>
          <cell r="C941">
            <v>940</v>
          </cell>
          <cell r="D941">
            <v>70</v>
          </cell>
          <cell r="E941">
            <v>1010</v>
          </cell>
          <cell r="F941">
            <v>6.6</v>
          </cell>
          <cell r="G941">
            <v>1000</v>
          </cell>
          <cell r="H941">
            <v>920</v>
          </cell>
          <cell r="I941">
            <v>80</v>
          </cell>
          <cell r="J941">
            <v>8.3229504111637187</v>
          </cell>
        </row>
        <row r="942">
          <cell r="B942" t="str">
            <v>CN5302305</v>
          </cell>
          <cell r="C942">
            <v>940</v>
          </cell>
          <cell r="D942">
            <v>70</v>
          </cell>
          <cell r="E942">
            <v>1010</v>
          </cell>
          <cell r="F942">
            <v>6.8</v>
          </cell>
          <cell r="G942">
            <v>1000</v>
          </cell>
          <cell r="H942">
            <v>920</v>
          </cell>
          <cell r="I942">
            <v>80</v>
          </cell>
          <cell r="J942">
            <v>8.0111598246313278</v>
          </cell>
        </row>
        <row r="943">
          <cell r="B943" t="str">
            <v>CN5302306</v>
          </cell>
          <cell r="C943">
            <v>950</v>
          </cell>
          <cell r="D943">
            <v>80</v>
          </cell>
          <cell r="E943">
            <v>1030</v>
          </cell>
          <cell r="F943">
            <v>7.3</v>
          </cell>
          <cell r="G943">
            <v>1010</v>
          </cell>
          <cell r="H943">
            <v>930</v>
          </cell>
          <cell r="I943">
            <v>80</v>
          </cell>
          <cell r="J943">
            <v>7.8986587183308492</v>
          </cell>
        </row>
        <row r="944">
          <cell r="B944" t="str">
            <v>CN5302307</v>
          </cell>
          <cell r="C944">
            <v>980</v>
          </cell>
          <cell r="D944">
            <v>70</v>
          </cell>
          <cell r="E944">
            <v>1050</v>
          </cell>
          <cell r="F944">
            <v>6.4</v>
          </cell>
          <cell r="G944">
            <v>1010</v>
          </cell>
          <cell r="H944">
            <v>930</v>
          </cell>
          <cell r="I944">
            <v>80</v>
          </cell>
          <cell r="J944">
            <v>7.6814459192318552</v>
          </cell>
        </row>
        <row r="945">
          <cell r="B945" t="str">
            <v>CN5302308</v>
          </cell>
          <cell r="C945" t="str">
            <v/>
          </cell>
          <cell r="D945" t="str">
            <v/>
          </cell>
          <cell r="E945" t="e">
            <v>#VALUE!</v>
          </cell>
          <cell r="F945" t="str">
            <v/>
          </cell>
          <cell r="G945" t="str">
            <v/>
          </cell>
          <cell r="H945" t="str">
            <v/>
          </cell>
          <cell r="I945" t="str">
            <v/>
          </cell>
          <cell r="J945" t="str">
            <v/>
          </cell>
        </row>
        <row r="946">
          <cell r="B946" t="str">
            <v>CN5302309</v>
          </cell>
          <cell r="C946" t="str">
            <v/>
          </cell>
          <cell r="D946" t="str">
            <v/>
          </cell>
          <cell r="E946" t="e">
            <v>#VALUE!</v>
          </cell>
          <cell r="F946" t="str">
            <v/>
          </cell>
          <cell r="G946" t="str">
            <v/>
          </cell>
          <cell r="H946" t="str">
            <v/>
          </cell>
          <cell r="I946" t="str">
            <v/>
          </cell>
          <cell r="J946" t="str">
            <v/>
          </cell>
        </row>
        <row r="947">
          <cell r="B947" t="str">
            <v>CN53023010</v>
          </cell>
          <cell r="C947" t="str">
            <v/>
          </cell>
          <cell r="D947" t="str">
            <v/>
          </cell>
          <cell r="E947" t="e">
            <v>#VALUE!</v>
          </cell>
          <cell r="F947" t="str">
            <v/>
          </cell>
          <cell r="G947" t="str">
            <v/>
          </cell>
          <cell r="H947" t="str">
            <v/>
          </cell>
          <cell r="I947" t="str">
            <v/>
          </cell>
          <cell r="J947" t="str">
            <v/>
          </cell>
        </row>
        <row r="948">
          <cell r="B948" t="str">
            <v>CN53023011</v>
          </cell>
          <cell r="C948" t="str">
            <v/>
          </cell>
          <cell r="D948" t="str">
            <v/>
          </cell>
          <cell r="E948" t="e">
            <v>#VALUE!</v>
          </cell>
          <cell r="F948" t="str">
            <v/>
          </cell>
          <cell r="G948" t="str">
            <v/>
          </cell>
          <cell r="H948" t="str">
            <v/>
          </cell>
          <cell r="I948" t="str">
            <v/>
          </cell>
          <cell r="J948" t="str">
            <v/>
          </cell>
        </row>
        <row r="949">
          <cell r="B949" t="str">
            <v>CN53023012</v>
          </cell>
          <cell r="C949" t="str">
            <v/>
          </cell>
          <cell r="D949" t="str">
            <v/>
          </cell>
          <cell r="E949" t="e">
            <v>#VALUE!</v>
          </cell>
          <cell r="F949" t="str">
            <v/>
          </cell>
          <cell r="G949" t="str">
            <v/>
          </cell>
          <cell r="H949" t="str">
            <v/>
          </cell>
          <cell r="I949" t="str">
            <v/>
          </cell>
          <cell r="J949" t="str">
            <v/>
          </cell>
        </row>
        <row r="950">
          <cell r="B950" t="str">
            <v>CN5302101</v>
          </cell>
          <cell r="C950">
            <v>33850</v>
          </cell>
          <cell r="D950">
            <v>3900</v>
          </cell>
          <cell r="E950">
            <v>37750</v>
          </cell>
          <cell r="F950">
            <v>10.3</v>
          </cell>
          <cell r="G950">
            <v>37750</v>
          </cell>
          <cell r="H950">
            <v>33850</v>
          </cell>
          <cell r="I950">
            <v>3900</v>
          </cell>
          <cell r="J950">
            <v>10.3</v>
          </cell>
        </row>
        <row r="951">
          <cell r="B951" t="str">
            <v>CN5302102</v>
          </cell>
          <cell r="C951">
            <v>33970</v>
          </cell>
          <cell r="D951">
            <v>3670</v>
          </cell>
          <cell r="E951">
            <v>37640</v>
          </cell>
          <cell r="F951">
            <v>9.6999999999999993</v>
          </cell>
          <cell r="G951">
            <v>37700</v>
          </cell>
          <cell r="H951">
            <v>33910</v>
          </cell>
          <cell r="I951">
            <v>3780</v>
          </cell>
          <cell r="J951">
            <v>10.039659906354871</v>
          </cell>
        </row>
        <row r="952">
          <cell r="B952" t="str">
            <v>CN5302103</v>
          </cell>
          <cell r="C952">
            <v>34430</v>
          </cell>
          <cell r="D952">
            <v>3470</v>
          </cell>
          <cell r="E952">
            <v>37900</v>
          </cell>
          <cell r="F952">
            <v>9.1</v>
          </cell>
          <cell r="G952">
            <v>37760</v>
          </cell>
          <cell r="H952">
            <v>34080</v>
          </cell>
          <cell r="I952">
            <v>3680</v>
          </cell>
          <cell r="J952">
            <v>9.7402941332250492</v>
          </cell>
        </row>
        <row r="953">
          <cell r="B953" t="str">
            <v>CN5302104</v>
          </cell>
          <cell r="C953">
            <v>34530</v>
          </cell>
          <cell r="D953">
            <v>3040</v>
          </cell>
          <cell r="E953">
            <v>37570</v>
          </cell>
          <cell r="F953">
            <v>8.1</v>
          </cell>
          <cell r="G953">
            <v>37710</v>
          </cell>
          <cell r="H953">
            <v>34200</v>
          </cell>
          <cell r="I953">
            <v>3520</v>
          </cell>
          <cell r="J953">
            <v>9.3270225121310961</v>
          </cell>
        </row>
        <row r="954">
          <cell r="B954" t="str">
            <v>CN5302105</v>
          </cell>
          <cell r="C954">
            <v>34710</v>
          </cell>
          <cell r="D954">
            <v>3040</v>
          </cell>
          <cell r="E954">
            <v>37750</v>
          </cell>
          <cell r="F954">
            <v>8</v>
          </cell>
          <cell r="G954">
            <v>37720</v>
          </cell>
          <cell r="H954">
            <v>34300</v>
          </cell>
          <cell r="I954">
            <v>3420</v>
          </cell>
          <cell r="J954">
            <v>9.0707119981335786</v>
          </cell>
        </row>
        <row r="955">
          <cell r="B955" t="str">
            <v>CN5302106</v>
          </cell>
          <cell r="C955">
            <v>35980</v>
          </cell>
          <cell r="D955">
            <v>2980</v>
          </cell>
          <cell r="E955">
            <v>38960</v>
          </cell>
          <cell r="F955">
            <v>7.7</v>
          </cell>
          <cell r="G955">
            <v>37930</v>
          </cell>
          <cell r="H955">
            <v>34580</v>
          </cell>
          <cell r="I955">
            <v>3350</v>
          </cell>
          <cell r="J955">
            <v>8.8289578920538929</v>
          </cell>
        </row>
        <row r="956">
          <cell r="B956" t="str">
            <v>CN5302107</v>
          </cell>
          <cell r="C956">
            <v>35200</v>
          </cell>
          <cell r="D956">
            <v>2970</v>
          </cell>
          <cell r="E956">
            <v>38170</v>
          </cell>
          <cell r="F956">
            <v>7.8</v>
          </cell>
          <cell r="G956">
            <v>37960</v>
          </cell>
          <cell r="H956">
            <v>34670</v>
          </cell>
          <cell r="I956">
            <v>3290</v>
          </cell>
          <cell r="J956">
            <v>8.6765740779070253</v>
          </cell>
        </row>
        <row r="957">
          <cell r="B957" t="str">
            <v>CN5302108</v>
          </cell>
          <cell r="C957" t="str">
            <v/>
          </cell>
          <cell r="D957" t="str">
            <v/>
          </cell>
          <cell r="E957" t="e">
            <v>#VALUE!</v>
          </cell>
          <cell r="F957" t="str">
            <v/>
          </cell>
          <cell r="G957" t="str">
            <v/>
          </cell>
          <cell r="H957" t="str">
            <v/>
          </cell>
          <cell r="I957" t="str">
            <v/>
          </cell>
          <cell r="J957" t="str">
            <v/>
          </cell>
        </row>
        <row r="958">
          <cell r="B958" t="str">
            <v>CN5302109</v>
          </cell>
          <cell r="C958" t="str">
            <v/>
          </cell>
          <cell r="D958" t="str">
            <v/>
          </cell>
          <cell r="E958" t="e">
            <v>#VALUE!</v>
          </cell>
          <cell r="F958" t="str">
            <v/>
          </cell>
          <cell r="G958" t="str">
            <v/>
          </cell>
          <cell r="H958" t="str">
            <v/>
          </cell>
          <cell r="I958" t="str">
            <v/>
          </cell>
          <cell r="J958" t="str">
            <v/>
          </cell>
        </row>
        <row r="959">
          <cell r="B959" t="str">
            <v>CN53021010</v>
          </cell>
          <cell r="C959" t="str">
            <v/>
          </cell>
          <cell r="D959" t="str">
            <v/>
          </cell>
          <cell r="E959" t="e">
            <v>#VALUE!</v>
          </cell>
          <cell r="F959" t="str">
            <v/>
          </cell>
          <cell r="G959" t="str">
            <v/>
          </cell>
          <cell r="H959" t="str">
            <v/>
          </cell>
          <cell r="I959" t="str">
            <v/>
          </cell>
          <cell r="J959" t="str">
            <v/>
          </cell>
        </row>
        <row r="960">
          <cell r="B960" t="str">
            <v>CN53021011</v>
          </cell>
          <cell r="C960" t="str">
            <v/>
          </cell>
          <cell r="D960" t="str">
            <v/>
          </cell>
          <cell r="E960" t="e">
            <v>#VALUE!</v>
          </cell>
          <cell r="F960" t="str">
            <v/>
          </cell>
          <cell r="G960" t="str">
            <v/>
          </cell>
          <cell r="H960" t="str">
            <v/>
          </cell>
          <cell r="I960" t="str">
            <v/>
          </cell>
          <cell r="J960" t="str">
            <v/>
          </cell>
        </row>
        <row r="961">
          <cell r="B961" t="str">
            <v>CN53021012</v>
          </cell>
          <cell r="C961" t="str">
            <v/>
          </cell>
          <cell r="D961" t="str">
            <v/>
          </cell>
          <cell r="E961" t="e">
            <v>#VALUE!</v>
          </cell>
          <cell r="F961" t="str">
            <v/>
          </cell>
          <cell r="G961" t="str">
            <v/>
          </cell>
          <cell r="H961" t="str">
            <v/>
          </cell>
          <cell r="I961" t="str">
            <v/>
          </cell>
          <cell r="J961" t="str">
            <v/>
          </cell>
        </row>
        <row r="962">
          <cell r="B962" t="str">
            <v>CN5301901</v>
          </cell>
          <cell r="C962">
            <v>2550</v>
          </cell>
          <cell r="D962">
            <v>460</v>
          </cell>
          <cell r="E962">
            <v>3010</v>
          </cell>
          <cell r="F962">
            <v>15.3</v>
          </cell>
          <cell r="G962">
            <v>3010</v>
          </cell>
          <cell r="H962">
            <v>2550</v>
          </cell>
          <cell r="I962">
            <v>460</v>
          </cell>
          <cell r="J962">
            <v>15.3</v>
          </cell>
        </row>
        <row r="963">
          <cell r="B963" t="str">
            <v>CN5301902</v>
          </cell>
          <cell r="C963">
            <v>2540</v>
          </cell>
          <cell r="D963">
            <v>490</v>
          </cell>
          <cell r="E963">
            <v>3030</v>
          </cell>
          <cell r="F963">
            <v>16.2</v>
          </cell>
          <cell r="G963">
            <v>3020</v>
          </cell>
          <cell r="H963">
            <v>2540</v>
          </cell>
          <cell r="I963">
            <v>470</v>
          </cell>
          <cell r="J963">
            <v>15.727543917799139</v>
          </cell>
        </row>
        <row r="964">
          <cell r="B964" t="str">
            <v>CN5301903</v>
          </cell>
          <cell r="C964">
            <v>2510</v>
          </cell>
          <cell r="D964">
            <v>490</v>
          </cell>
          <cell r="E964">
            <v>3000</v>
          </cell>
          <cell r="F964">
            <v>16.399999999999999</v>
          </cell>
          <cell r="G964">
            <v>3010</v>
          </cell>
          <cell r="H964">
            <v>2530</v>
          </cell>
          <cell r="I964">
            <v>480</v>
          </cell>
          <cell r="J964">
            <v>15.94555715392276</v>
          </cell>
        </row>
        <row r="965">
          <cell r="B965" t="str">
            <v>CN5301904</v>
          </cell>
          <cell r="C965">
            <v>2540</v>
          </cell>
          <cell r="D965">
            <v>420</v>
          </cell>
          <cell r="E965">
            <v>2960</v>
          </cell>
          <cell r="F965">
            <v>14.2</v>
          </cell>
          <cell r="G965">
            <v>3000</v>
          </cell>
          <cell r="H965">
            <v>2530</v>
          </cell>
          <cell r="I965">
            <v>470</v>
          </cell>
          <cell r="J965">
            <v>15.509625802150179</v>
          </cell>
        </row>
        <row r="966">
          <cell r="B966" t="str">
            <v>CN5301905</v>
          </cell>
          <cell r="C966">
            <v>2630</v>
          </cell>
          <cell r="D966">
            <v>400</v>
          </cell>
          <cell r="E966">
            <v>3030</v>
          </cell>
          <cell r="F966">
            <v>13.3</v>
          </cell>
          <cell r="G966">
            <v>3010</v>
          </cell>
          <cell r="H966">
            <v>2550</v>
          </cell>
          <cell r="I966">
            <v>450</v>
          </cell>
          <cell r="J966">
            <v>15.057196062782657</v>
          </cell>
        </row>
        <row r="967">
          <cell r="B967" t="str">
            <v>CN5301906</v>
          </cell>
          <cell r="C967">
            <v>2680</v>
          </cell>
          <cell r="D967">
            <v>390</v>
          </cell>
          <cell r="E967">
            <v>3070</v>
          </cell>
          <cell r="F967">
            <v>12.6</v>
          </cell>
          <cell r="G967">
            <v>3020</v>
          </cell>
          <cell r="H967">
            <v>2580</v>
          </cell>
          <cell r="I967">
            <v>440</v>
          </cell>
          <cell r="J967">
            <v>14.647078316580139</v>
          </cell>
        </row>
        <row r="968">
          <cell r="B968" t="str">
            <v>CN5301907</v>
          </cell>
          <cell r="C968">
            <v>2620</v>
          </cell>
          <cell r="D968">
            <v>390</v>
          </cell>
          <cell r="E968">
            <v>3010</v>
          </cell>
          <cell r="F968">
            <v>12.9</v>
          </cell>
          <cell r="G968">
            <v>3020</v>
          </cell>
          <cell r="H968">
            <v>2580</v>
          </cell>
          <cell r="I968">
            <v>430</v>
          </cell>
          <cell r="J968">
            <v>14.403448112537298</v>
          </cell>
        </row>
        <row r="969">
          <cell r="B969" t="str">
            <v>CN5301908</v>
          </cell>
          <cell r="C969" t="str">
            <v/>
          </cell>
          <cell r="D969" t="str">
            <v/>
          </cell>
          <cell r="E969" t="e">
            <v>#VALUE!</v>
          </cell>
          <cell r="F969" t="str">
            <v/>
          </cell>
          <cell r="G969" t="str">
            <v/>
          </cell>
          <cell r="H969" t="str">
            <v/>
          </cell>
          <cell r="I969" t="str">
            <v/>
          </cell>
          <cell r="J969" t="str">
            <v/>
          </cell>
        </row>
        <row r="970">
          <cell r="B970" t="str">
            <v>CN5301909</v>
          </cell>
          <cell r="C970" t="str">
            <v/>
          </cell>
          <cell r="D970" t="str">
            <v/>
          </cell>
          <cell r="E970" t="e">
            <v>#VALUE!</v>
          </cell>
          <cell r="F970" t="str">
            <v/>
          </cell>
          <cell r="G970" t="str">
            <v/>
          </cell>
          <cell r="H970" t="str">
            <v/>
          </cell>
          <cell r="I970" t="str">
            <v/>
          </cell>
          <cell r="J970" t="str">
            <v/>
          </cell>
        </row>
        <row r="971">
          <cell r="B971" t="str">
            <v>CN53019010</v>
          </cell>
          <cell r="C971" t="str">
            <v/>
          </cell>
          <cell r="D971" t="str">
            <v/>
          </cell>
          <cell r="E971" t="e">
            <v>#VALUE!</v>
          </cell>
          <cell r="F971" t="str">
            <v/>
          </cell>
          <cell r="G971" t="str">
            <v/>
          </cell>
          <cell r="H971" t="str">
            <v/>
          </cell>
          <cell r="I971" t="str">
            <v/>
          </cell>
          <cell r="J971" t="str">
            <v/>
          </cell>
        </row>
        <row r="972">
          <cell r="B972" t="str">
            <v>CN53019011</v>
          </cell>
          <cell r="C972" t="str">
            <v/>
          </cell>
          <cell r="D972" t="str">
            <v/>
          </cell>
          <cell r="E972" t="e">
            <v>#VALUE!</v>
          </cell>
          <cell r="F972" t="str">
            <v/>
          </cell>
          <cell r="G972" t="str">
            <v/>
          </cell>
          <cell r="H972" t="str">
            <v/>
          </cell>
          <cell r="I972" t="str">
            <v/>
          </cell>
          <cell r="J972" t="str">
            <v/>
          </cell>
        </row>
        <row r="973">
          <cell r="B973" t="str">
            <v>CN53019012</v>
          </cell>
          <cell r="C973" t="str">
            <v/>
          </cell>
          <cell r="D973" t="str">
            <v/>
          </cell>
          <cell r="E973" t="e">
            <v>#VALUE!</v>
          </cell>
          <cell r="F973" t="str">
            <v/>
          </cell>
          <cell r="G973" t="str">
            <v/>
          </cell>
          <cell r="H973" t="str">
            <v/>
          </cell>
          <cell r="I973" t="str">
            <v/>
          </cell>
          <cell r="J973" t="str">
            <v/>
          </cell>
        </row>
        <row r="974">
          <cell r="B974" t="str">
            <v>CN5301701</v>
          </cell>
          <cell r="C974">
            <v>18650</v>
          </cell>
          <cell r="D974">
            <v>2020</v>
          </cell>
          <cell r="E974">
            <v>20670</v>
          </cell>
          <cell r="F974">
            <v>9.8000000000000007</v>
          </cell>
          <cell r="G974">
            <v>20670</v>
          </cell>
          <cell r="H974">
            <v>18650</v>
          </cell>
          <cell r="I974">
            <v>2020</v>
          </cell>
          <cell r="J974">
            <v>9.8000000000000007</v>
          </cell>
        </row>
        <row r="975">
          <cell r="B975" t="str">
            <v>CN5301702</v>
          </cell>
          <cell r="C975">
            <v>18850</v>
          </cell>
          <cell r="D975">
            <v>1990</v>
          </cell>
          <cell r="E975">
            <v>20840</v>
          </cell>
          <cell r="F975">
            <v>9.5</v>
          </cell>
          <cell r="G975">
            <v>20750</v>
          </cell>
          <cell r="H975">
            <v>18750</v>
          </cell>
          <cell r="I975">
            <v>2000</v>
          </cell>
          <cell r="J975">
            <v>9.6474953617810755</v>
          </cell>
        </row>
        <row r="976">
          <cell r="B976" t="str">
            <v>CN5301703</v>
          </cell>
          <cell r="C976">
            <v>19090</v>
          </cell>
          <cell r="D976">
            <v>1910</v>
          </cell>
          <cell r="E976">
            <v>21000</v>
          </cell>
          <cell r="F976">
            <v>9.1</v>
          </cell>
          <cell r="G976">
            <v>20830</v>
          </cell>
          <cell r="H976">
            <v>18860</v>
          </cell>
          <cell r="I976">
            <v>1970</v>
          </cell>
          <cell r="J976">
            <v>9.4558487064206975</v>
          </cell>
        </row>
        <row r="977">
          <cell r="B977" t="str">
            <v>CN5301704</v>
          </cell>
          <cell r="C977">
            <v>18720</v>
          </cell>
          <cell r="D977">
            <v>1650</v>
          </cell>
          <cell r="E977">
            <v>20370</v>
          </cell>
          <cell r="F977">
            <v>8.1</v>
          </cell>
          <cell r="G977">
            <v>20720</v>
          </cell>
          <cell r="H977">
            <v>18830</v>
          </cell>
          <cell r="I977">
            <v>1890</v>
          </cell>
          <cell r="J977">
            <v>9.126012090789521</v>
          </cell>
        </row>
        <row r="978">
          <cell r="B978" t="str">
            <v>CN5301705</v>
          </cell>
          <cell r="C978">
            <v>18990</v>
          </cell>
          <cell r="D978">
            <v>1640</v>
          </cell>
          <cell r="E978">
            <v>20630</v>
          </cell>
          <cell r="F978">
            <v>8</v>
          </cell>
          <cell r="G978">
            <v>20700</v>
          </cell>
          <cell r="H978">
            <v>18860</v>
          </cell>
          <cell r="I978">
            <v>1840</v>
          </cell>
          <cell r="J978">
            <v>8.891787439613525</v>
          </cell>
        </row>
        <row r="979">
          <cell r="B979" t="str">
            <v>CN5301706</v>
          </cell>
          <cell r="C979">
            <v>21700</v>
          </cell>
          <cell r="D979">
            <v>1670</v>
          </cell>
          <cell r="E979">
            <v>23370</v>
          </cell>
          <cell r="F979">
            <v>7.1</v>
          </cell>
          <cell r="G979">
            <v>21150</v>
          </cell>
          <cell r="H979">
            <v>19330</v>
          </cell>
          <cell r="I979">
            <v>1810</v>
          </cell>
          <cell r="J979">
            <v>8.5691991203802242</v>
          </cell>
        </row>
        <row r="980">
          <cell r="B980" t="str">
            <v>CN5301707</v>
          </cell>
          <cell r="C980">
            <v>24120</v>
          </cell>
          <cell r="D980">
            <v>1560</v>
          </cell>
          <cell r="E980">
            <v>25680</v>
          </cell>
          <cell r="F980">
            <v>6.1</v>
          </cell>
          <cell r="G980">
            <v>21790</v>
          </cell>
          <cell r="H980">
            <v>20020</v>
          </cell>
          <cell r="I980">
            <v>1780</v>
          </cell>
          <cell r="J980">
            <v>8.1519744087262058</v>
          </cell>
        </row>
        <row r="981">
          <cell r="B981" t="str">
            <v>CN5301708</v>
          </cell>
          <cell r="C981" t="str">
            <v/>
          </cell>
          <cell r="D981" t="str">
            <v/>
          </cell>
          <cell r="E981" t="e">
            <v>#VALUE!</v>
          </cell>
          <cell r="F981" t="str">
            <v/>
          </cell>
          <cell r="G981" t="str">
            <v/>
          </cell>
          <cell r="H981" t="str">
            <v/>
          </cell>
          <cell r="I981" t="str">
            <v/>
          </cell>
          <cell r="J981" t="str">
            <v/>
          </cell>
        </row>
        <row r="982">
          <cell r="B982" t="str">
            <v>CN5301709</v>
          </cell>
          <cell r="C982" t="str">
            <v/>
          </cell>
          <cell r="D982" t="str">
            <v/>
          </cell>
          <cell r="E982" t="e">
            <v>#VALUE!</v>
          </cell>
          <cell r="F982" t="str">
            <v/>
          </cell>
          <cell r="G982" t="str">
            <v/>
          </cell>
          <cell r="H982" t="str">
            <v/>
          </cell>
          <cell r="I982" t="str">
            <v/>
          </cell>
          <cell r="J982" t="str">
            <v/>
          </cell>
        </row>
        <row r="983">
          <cell r="B983" t="str">
            <v>CN53017010</v>
          </cell>
          <cell r="C983" t="str">
            <v/>
          </cell>
          <cell r="D983" t="str">
            <v/>
          </cell>
          <cell r="E983" t="e">
            <v>#VALUE!</v>
          </cell>
          <cell r="F983" t="str">
            <v/>
          </cell>
          <cell r="G983" t="str">
            <v/>
          </cell>
          <cell r="H983" t="str">
            <v/>
          </cell>
          <cell r="I983" t="str">
            <v/>
          </cell>
          <cell r="J983" t="str">
            <v/>
          </cell>
        </row>
        <row r="984">
          <cell r="B984" t="str">
            <v>CN53017011</v>
          </cell>
          <cell r="C984" t="str">
            <v/>
          </cell>
          <cell r="D984" t="str">
            <v/>
          </cell>
          <cell r="E984" t="e">
            <v>#VALUE!</v>
          </cell>
          <cell r="F984" t="str">
            <v/>
          </cell>
          <cell r="G984" t="str">
            <v/>
          </cell>
          <cell r="H984" t="str">
            <v/>
          </cell>
          <cell r="I984" t="str">
            <v/>
          </cell>
          <cell r="J984" t="str">
            <v/>
          </cell>
        </row>
        <row r="985">
          <cell r="B985" t="str">
            <v>CN53017012</v>
          </cell>
          <cell r="C985" t="str">
            <v/>
          </cell>
          <cell r="D985" t="str">
            <v/>
          </cell>
          <cell r="E985" t="e">
            <v>#VALUE!</v>
          </cell>
          <cell r="F985" t="str">
            <v/>
          </cell>
          <cell r="G985" t="str">
            <v/>
          </cell>
          <cell r="H985" t="str">
            <v/>
          </cell>
          <cell r="I985" t="str">
            <v/>
          </cell>
          <cell r="J985" t="str">
            <v/>
          </cell>
        </row>
        <row r="986">
          <cell r="B986" t="str">
            <v>CN5301301</v>
          </cell>
          <cell r="C986">
            <v>1360</v>
          </cell>
          <cell r="D986">
            <v>200</v>
          </cell>
          <cell r="E986">
            <v>1560</v>
          </cell>
          <cell r="F986">
            <v>12.6</v>
          </cell>
          <cell r="G986">
            <v>1550</v>
          </cell>
          <cell r="H986">
            <v>1360</v>
          </cell>
          <cell r="I986">
            <v>200</v>
          </cell>
          <cell r="J986">
            <v>12.6</v>
          </cell>
        </row>
        <row r="987">
          <cell r="B987" t="str">
            <v>CN5301302</v>
          </cell>
          <cell r="C987">
            <v>1360</v>
          </cell>
          <cell r="D987">
            <v>190</v>
          </cell>
          <cell r="E987">
            <v>1550</v>
          </cell>
          <cell r="F987">
            <v>12.3</v>
          </cell>
          <cell r="G987">
            <v>1550</v>
          </cell>
          <cell r="H987">
            <v>1360</v>
          </cell>
          <cell r="I987">
            <v>190</v>
          </cell>
          <cell r="J987">
            <v>12.435567010309278</v>
          </cell>
        </row>
        <row r="988">
          <cell r="B988" t="str">
            <v>CN5301303</v>
          </cell>
          <cell r="C988">
            <v>1370</v>
          </cell>
          <cell r="D988">
            <v>200</v>
          </cell>
          <cell r="E988">
            <v>1570</v>
          </cell>
          <cell r="F988">
            <v>12.6</v>
          </cell>
          <cell r="G988">
            <v>1560</v>
          </cell>
          <cell r="H988">
            <v>1360</v>
          </cell>
          <cell r="I988">
            <v>190</v>
          </cell>
          <cell r="J988">
            <v>12.486613835939174</v>
          </cell>
        </row>
        <row r="989">
          <cell r="B989" t="str">
            <v>CN5301304</v>
          </cell>
          <cell r="C989">
            <v>1340</v>
          </cell>
          <cell r="D989">
            <v>170</v>
          </cell>
          <cell r="E989">
            <v>1510</v>
          </cell>
          <cell r="F989">
            <v>11.2</v>
          </cell>
          <cell r="G989">
            <v>1550</v>
          </cell>
          <cell r="H989">
            <v>1360</v>
          </cell>
          <cell r="I989">
            <v>190</v>
          </cell>
          <cell r="J989">
            <v>12.180524102232287</v>
          </cell>
        </row>
        <row r="990">
          <cell r="B990" t="str">
            <v>CN5301305</v>
          </cell>
          <cell r="C990">
            <v>1350</v>
          </cell>
          <cell r="D990">
            <v>170</v>
          </cell>
          <cell r="E990">
            <v>1520</v>
          </cell>
          <cell r="F990">
            <v>11</v>
          </cell>
          <cell r="G990">
            <v>1540</v>
          </cell>
          <cell r="H990">
            <v>1360</v>
          </cell>
          <cell r="I990">
            <v>180</v>
          </cell>
          <cell r="J990">
            <v>11.949603844655151</v>
          </cell>
        </row>
        <row r="991">
          <cell r="B991" t="str">
            <v>CN5301306</v>
          </cell>
          <cell r="C991">
            <v>1370</v>
          </cell>
          <cell r="D991">
            <v>170</v>
          </cell>
          <cell r="E991">
            <v>1540</v>
          </cell>
          <cell r="F991">
            <v>11.3</v>
          </cell>
          <cell r="G991">
            <v>1540</v>
          </cell>
          <cell r="H991">
            <v>1360</v>
          </cell>
          <cell r="I991">
            <v>180</v>
          </cell>
          <cell r="J991">
            <v>11.842390127733275</v>
          </cell>
        </row>
        <row r="992">
          <cell r="B992" t="str">
            <v>CN5301307</v>
          </cell>
          <cell r="C992">
            <v>1330</v>
          </cell>
          <cell r="D992">
            <v>150</v>
          </cell>
          <cell r="E992">
            <v>1480</v>
          </cell>
          <cell r="F992">
            <v>10.199999999999999</v>
          </cell>
          <cell r="G992">
            <v>1530</v>
          </cell>
          <cell r="H992">
            <v>1350</v>
          </cell>
          <cell r="I992">
            <v>180</v>
          </cell>
          <cell r="J992">
            <v>11.612722693778565</v>
          </cell>
        </row>
        <row r="993">
          <cell r="B993" t="str">
            <v>CN5301308</v>
          </cell>
          <cell r="C993" t="str">
            <v/>
          </cell>
          <cell r="D993" t="str">
            <v/>
          </cell>
          <cell r="E993" t="e">
            <v>#VALUE!</v>
          </cell>
          <cell r="F993" t="str">
            <v/>
          </cell>
          <cell r="G993" t="str">
            <v/>
          </cell>
          <cell r="H993" t="str">
            <v/>
          </cell>
          <cell r="I993" t="str">
            <v/>
          </cell>
          <cell r="J993" t="str">
            <v/>
          </cell>
        </row>
        <row r="994">
          <cell r="B994" t="str">
            <v>CN5301309</v>
          </cell>
          <cell r="C994" t="str">
            <v/>
          </cell>
          <cell r="D994" t="str">
            <v/>
          </cell>
          <cell r="E994" t="e">
            <v>#VALUE!</v>
          </cell>
          <cell r="F994" t="str">
            <v/>
          </cell>
          <cell r="G994" t="str">
            <v/>
          </cell>
          <cell r="H994" t="str">
            <v/>
          </cell>
          <cell r="I994" t="str">
            <v/>
          </cell>
          <cell r="J994" t="str">
            <v/>
          </cell>
        </row>
        <row r="995">
          <cell r="B995" t="str">
            <v>CN53013010</v>
          </cell>
          <cell r="C995" t="str">
            <v/>
          </cell>
          <cell r="D995" t="str">
            <v/>
          </cell>
          <cell r="E995" t="e">
            <v>#VALUE!</v>
          </cell>
          <cell r="F995" t="str">
            <v/>
          </cell>
          <cell r="G995" t="str">
            <v/>
          </cell>
          <cell r="H995" t="str">
            <v/>
          </cell>
          <cell r="I995" t="str">
            <v/>
          </cell>
          <cell r="J995" t="str">
            <v/>
          </cell>
        </row>
        <row r="996">
          <cell r="B996" t="str">
            <v>CN53013011</v>
          </cell>
          <cell r="C996" t="str">
            <v/>
          </cell>
          <cell r="D996" t="str">
            <v/>
          </cell>
          <cell r="E996" t="e">
            <v>#VALUE!</v>
          </cell>
          <cell r="F996" t="str">
            <v/>
          </cell>
          <cell r="G996" t="str">
            <v/>
          </cell>
          <cell r="H996" t="str">
            <v/>
          </cell>
          <cell r="I996" t="str">
            <v/>
          </cell>
          <cell r="J996" t="str">
            <v/>
          </cell>
        </row>
        <row r="997">
          <cell r="B997" t="str">
            <v>CN53013012</v>
          </cell>
          <cell r="C997" t="str">
            <v/>
          </cell>
          <cell r="D997" t="str">
            <v/>
          </cell>
          <cell r="E997" t="e">
            <v>#VALUE!</v>
          </cell>
          <cell r="F997" t="str">
            <v/>
          </cell>
          <cell r="G997" t="str">
            <v/>
          </cell>
          <cell r="H997" t="str">
            <v/>
          </cell>
          <cell r="I997" t="str">
            <v/>
          </cell>
          <cell r="J997" t="str">
            <v/>
          </cell>
        </row>
        <row r="998">
          <cell r="B998" t="str">
            <v>CN5301101</v>
          </cell>
          <cell r="C998">
            <v>189680</v>
          </cell>
          <cell r="D998">
            <v>28960</v>
          </cell>
          <cell r="E998">
            <v>218640</v>
          </cell>
          <cell r="F998">
            <v>13.2</v>
          </cell>
          <cell r="G998">
            <v>218640</v>
          </cell>
          <cell r="H998">
            <v>189680</v>
          </cell>
          <cell r="I998">
            <v>28960</v>
          </cell>
          <cell r="J998">
            <v>13.2</v>
          </cell>
        </row>
        <row r="999">
          <cell r="B999" t="str">
            <v>CN5301102</v>
          </cell>
          <cell r="C999">
            <v>190380</v>
          </cell>
          <cell r="D999">
            <v>28200</v>
          </cell>
          <cell r="E999">
            <v>218580</v>
          </cell>
          <cell r="F999">
            <v>12.9</v>
          </cell>
          <cell r="G999">
            <v>218610</v>
          </cell>
          <cell r="H999">
            <v>190030</v>
          </cell>
          <cell r="I999">
            <v>28580</v>
          </cell>
          <cell r="J999">
            <v>13.074474070617942</v>
          </cell>
        </row>
        <row r="1000">
          <cell r="B1000" t="str">
            <v>CN5301103</v>
          </cell>
          <cell r="C1000">
            <v>189850</v>
          </cell>
          <cell r="D1000">
            <v>28340</v>
          </cell>
          <cell r="E1000">
            <v>218190</v>
          </cell>
          <cell r="F1000">
            <v>13</v>
          </cell>
          <cell r="G1000">
            <v>218470</v>
          </cell>
          <cell r="H1000">
            <v>189970</v>
          </cell>
          <cell r="I1000">
            <v>28500</v>
          </cell>
          <cell r="J1000">
            <v>13.045587770839024</v>
          </cell>
        </row>
        <row r="1001">
          <cell r="B1001" t="str">
            <v>CN5301104</v>
          </cell>
          <cell r="C1001">
            <v>189850</v>
          </cell>
          <cell r="D1001">
            <v>27780</v>
          </cell>
          <cell r="E1001">
            <v>217630</v>
          </cell>
          <cell r="F1001">
            <v>12.8</v>
          </cell>
          <cell r="G1001">
            <v>218260</v>
          </cell>
          <cell r="H1001">
            <v>189940</v>
          </cell>
          <cell r="I1001">
            <v>28320</v>
          </cell>
          <cell r="J1001">
            <v>12.975445822628512</v>
          </cell>
        </row>
        <row r="1002">
          <cell r="B1002" t="str">
            <v>CN5301105</v>
          </cell>
          <cell r="C1002">
            <v>190330</v>
          </cell>
          <cell r="D1002">
            <v>27740</v>
          </cell>
          <cell r="E1002">
            <v>218070</v>
          </cell>
          <cell r="F1002">
            <v>12.7</v>
          </cell>
          <cell r="G1002">
            <v>218220</v>
          </cell>
          <cell r="H1002">
            <v>190020</v>
          </cell>
          <cell r="I1002">
            <v>28200</v>
          </cell>
          <cell r="J1002">
            <v>12.924266669599438</v>
          </cell>
        </row>
        <row r="1003">
          <cell r="B1003" t="str">
            <v>CN5301106</v>
          </cell>
          <cell r="C1003">
            <v>187500</v>
          </cell>
          <cell r="D1003">
            <v>26380</v>
          </cell>
          <cell r="E1003">
            <v>213880</v>
          </cell>
          <cell r="F1003">
            <v>12.3</v>
          </cell>
          <cell r="G1003">
            <v>217500</v>
          </cell>
          <cell r="H1003">
            <v>189600</v>
          </cell>
          <cell r="I1003">
            <v>27900</v>
          </cell>
          <cell r="J1003">
            <v>12.827482097632558</v>
          </cell>
        </row>
        <row r="1004">
          <cell r="B1004" t="str">
            <v>CN5301107</v>
          </cell>
          <cell r="C1004">
            <v>183510</v>
          </cell>
          <cell r="D1004">
            <v>20640</v>
          </cell>
          <cell r="E1004">
            <v>204150</v>
          </cell>
          <cell r="F1004">
            <v>10.1</v>
          </cell>
          <cell r="G1004">
            <v>215590</v>
          </cell>
          <cell r="H1004">
            <v>188730</v>
          </cell>
          <cell r="I1004">
            <v>26860</v>
          </cell>
          <cell r="J1004">
            <v>12.459869767663761</v>
          </cell>
        </row>
        <row r="1005">
          <cell r="B1005" t="str">
            <v>CN5301108</v>
          </cell>
          <cell r="C1005" t="str">
            <v/>
          </cell>
          <cell r="D1005" t="str">
            <v/>
          </cell>
          <cell r="E1005" t="e">
            <v>#VALUE!</v>
          </cell>
          <cell r="F1005" t="str">
            <v/>
          </cell>
          <cell r="G1005" t="str">
            <v/>
          </cell>
          <cell r="H1005" t="str">
            <v/>
          </cell>
          <cell r="I1005" t="str">
            <v/>
          </cell>
          <cell r="J1005" t="str">
            <v/>
          </cell>
        </row>
        <row r="1006">
          <cell r="B1006" t="str">
            <v>CN5301109</v>
          </cell>
          <cell r="C1006" t="str">
            <v/>
          </cell>
          <cell r="D1006" t="str">
            <v/>
          </cell>
          <cell r="E1006" t="e">
            <v>#VALUE!</v>
          </cell>
          <cell r="F1006" t="str">
            <v/>
          </cell>
          <cell r="G1006" t="str">
            <v/>
          </cell>
          <cell r="H1006" t="str">
            <v/>
          </cell>
          <cell r="I1006" t="str">
            <v/>
          </cell>
          <cell r="J1006" t="str">
            <v/>
          </cell>
        </row>
        <row r="1007">
          <cell r="B1007" t="str">
            <v>CN53011010</v>
          </cell>
          <cell r="C1007" t="str">
            <v/>
          </cell>
          <cell r="D1007" t="str">
            <v/>
          </cell>
          <cell r="E1007" t="e">
            <v>#VALUE!</v>
          </cell>
          <cell r="F1007" t="str">
            <v/>
          </cell>
          <cell r="G1007" t="str">
            <v/>
          </cell>
          <cell r="H1007" t="str">
            <v/>
          </cell>
          <cell r="I1007" t="str">
            <v/>
          </cell>
          <cell r="J1007" t="str">
            <v/>
          </cell>
        </row>
        <row r="1008">
          <cell r="B1008" t="str">
            <v>CN53011011</v>
          </cell>
          <cell r="C1008" t="str">
            <v/>
          </cell>
          <cell r="D1008" t="str">
            <v/>
          </cell>
          <cell r="E1008" t="e">
            <v>#VALUE!</v>
          </cell>
          <cell r="F1008" t="str">
            <v/>
          </cell>
          <cell r="G1008" t="str">
            <v/>
          </cell>
          <cell r="H1008" t="str">
            <v/>
          </cell>
          <cell r="I1008" t="str">
            <v/>
          </cell>
          <cell r="J1008" t="str">
            <v/>
          </cell>
        </row>
        <row r="1009">
          <cell r="B1009" t="str">
            <v>CN53011012</v>
          </cell>
          <cell r="C1009" t="str">
            <v/>
          </cell>
          <cell r="D1009" t="str">
            <v/>
          </cell>
          <cell r="E1009" t="e">
            <v>#VALUE!</v>
          </cell>
          <cell r="F1009" t="str">
            <v/>
          </cell>
          <cell r="G1009" t="str">
            <v/>
          </cell>
          <cell r="H1009" t="str">
            <v/>
          </cell>
          <cell r="I1009" t="str">
            <v/>
          </cell>
          <cell r="J1009" t="str">
            <v/>
          </cell>
        </row>
        <row r="1010">
          <cell r="B1010" t="str">
            <v>CN5300701</v>
          </cell>
          <cell r="C1010">
            <v>35410</v>
          </cell>
          <cell r="D1010">
            <v>3910</v>
          </cell>
          <cell r="E1010">
            <v>39320</v>
          </cell>
          <cell r="F1010">
            <v>9.9</v>
          </cell>
          <cell r="G1010">
            <v>39320</v>
          </cell>
          <cell r="H1010">
            <v>35410</v>
          </cell>
          <cell r="I1010">
            <v>3910</v>
          </cell>
          <cell r="J1010">
            <v>9.9</v>
          </cell>
        </row>
        <row r="1011">
          <cell r="B1011" t="str">
            <v>CN5300702</v>
          </cell>
          <cell r="C1011">
            <v>35780</v>
          </cell>
          <cell r="D1011">
            <v>3880</v>
          </cell>
          <cell r="E1011">
            <v>39660</v>
          </cell>
          <cell r="F1011">
            <v>9.8000000000000007</v>
          </cell>
          <cell r="G1011">
            <v>39490</v>
          </cell>
          <cell r="H1011">
            <v>35600</v>
          </cell>
          <cell r="I1011">
            <v>3900</v>
          </cell>
          <cell r="J1011">
            <v>9.8642728723000168</v>
          </cell>
        </row>
        <row r="1012">
          <cell r="B1012" t="str">
            <v>CN5300703</v>
          </cell>
          <cell r="C1012">
            <v>36250</v>
          </cell>
          <cell r="D1012">
            <v>3840</v>
          </cell>
          <cell r="E1012">
            <v>40090</v>
          </cell>
          <cell r="F1012">
            <v>9.6</v>
          </cell>
          <cell r="G1012">
            <v>39690</v>
          </cell>
          <cell r="H1012">
            <v>35810</v>
          </cell>
          <cell r="I1012">
            <v>3880</v>
          </cell>
          <cell r="J1012">
            <v>9.7667699698489088</v>
          </cell>
        </row>
        <row r="1013">
          <cell r="B1013" t="str">
            <v>CN5300704</v>
          </cell>
          <cell r="C1013">
            <v>35540</v>
          </cell>
          <cell r="D1013">
            <v>3460</v>
          </cell>
          <cell r="E1013">
            <v>39000</v>
          </cell>
          <cell r="F1013">
            <v>8.9</v>
          </cell>
          <cell r="G1013">
            <v>39520</v>
          </cell>
          <cell r="H1013">
            <v>35740</v>
          </cell>
          <cell r="I1013">
            <v>3770</v>
          </cell>
          <cell r="J1013">
            <v>9.5449886753299342</v>
          </cell>
        </row>
        <row r="1014">
          <cell r="B1014" t="str">
            <v>CN5300705</v>
          </cell>
          <cell r="C1014">
            <v>36050</v>
          </cell>
          <cell r="D1014">
            <v>3510</v>
          </cell>
          <cell r="E1014">
            <v>39560</v>
          </cell>
          <cell r="F1014">
            <v>8.9</v>
          </cell>
          <cell r="G1014">
            <v>39520</v>
          </cell>
          <cell r="H1014">
            <v>35800</v>
          </cell>
          <cell r="I1014">
            <v>3720</v>
          </cell>
          <cell r="J1014">
            <v>9.4110384122984119</v>
          </cell>
        </row>
        <row r="1015">
          <cell r="B1015" t="str">
            <v>CN5300706</v>
          </cell>
          <cell r="C1015">
            <v>41210</v>
          </cell>
          <cell r="D1015">
            <v>3370</v>
          </cell>
          <cell r="E1015">
            <v>44580</v>
          </cell>
          <cell r="F1015">
            <v>7.6</v>
          </cell>
          <cell r="G1015">
            <v>40370</v>
          </cell>
          <cell r="H1015">
            <v>36700</v>
          </cell>
          <cell r="I1015">
            <v>3660</v>
          </cell>
          <cell r="J1015">
            <v>9.0719163659485211</v>
          </cell>
        </row>
        <row r="1016">
          <cell r="B1016" t="str">
            <v>CN5300707</v>
          </cell>
          <cell r="C1016">
            <v>45780</v>
          </cell>
          <cell r="D1016">
            <v>3050</v>
          </cell>
          <cell r="E1016">
            <v>48830</v>
          </cell>
          <cell r="F1016">
            <v>6.2</v>
          </cell>
          <cell r="G1016">
            <v>41580</v>
          </cell>
          <cell r="H1016">
            <v>38000</v>
          </cell>
          <cell r="I1016">
            <v>3570</v>
          </cell>
          <cell r="J1016">
            <v>8.5980531283608954</v>
          </cell>
        </row>
        <row r="1017">
          <cell r="B1017" t="str">
            <v>CN5300708</v>
          </cell>
          <cell r="C1017" t="str">
            <v/>
          </cell>
          <cell r="D1017" t="str">
            <v/>
          </cell>
          <cell r="E1017" t="e">
            <v>#VALUE!</v>
          </cell>
          <cell r="F1017" t="str">
            <v/>
          </cell>
          <cell r="G1017" t="str">
            <v/>
          </cell>
          <cell r="H1017" t="str">
            <v/>
          </cell>
          <cell r="I1017" t="str">
            <v/>
          </cell>
          <cell r="J1017" t="str">
            <v/>
          </cell>
        </row>
        <row r="1018">
          <cell r="B1018" t="str">
            <v>CN5300709</v>
          </cell>
          <cell r="C1018" t="str">
            <v/>
          </cell>
          <cell r="D1018" t="str">
            <v/>
          </cell>
          <cell r="E1018" t="e">
            <v>#VALUE!</v>
          </cell>
          <cell r="F1018" t="str">
            <v/>
          </cell>
          <cell r="G1018" t="str">
            <v/>
          </cell>
          <cell r="H1018" t="str">
            <v/>
          </cell>
          <cell r="I1018" t="str">
            <v/>
          </cell>
          <cell r="J1018" t="str">
            <v/>
          </cell>
        </row>
        <row r="1019">
          <cell r="B1019" t="str">
            <v>CN53007010</v>
          </cell>
          <cell r="C1019" t="str">
            <v/>
          </cell>
          <cell r="D1019" t="str">
            <v/>
          </cell>
          <cell r="E1019" t="e">
            <v>#VALUE!</v>
          </cell>
          <cell r="F1019" t="str">
            <v/>
          </cell>
          <cell r="G1019" t="str">
            <v/>
          </cell>
          <cell r="H1019" t="str">
            <v/>
          </cell>
          <cell r="I1019" t="str">
            <v/>
          </cell>
          <cell r="J1019" t="str">
            <v/>
          </cell>
        </row>
        <row r="1020">
          <cell r="B1020" t="str">
            <v>CN53007011</v>
          </cell>
          <cell r="C1020" t="str">
            <v/>
          </cell>
          <cell r="D1020" t="str">
            <v/>
          </cell>
          <cell r="E1020" t="e">
            <v>#VALUE!</v>
          </cell>
          <cell r="F1020" t="str">
            <v/>
          </cell>
          <cell r="G1020" t="str">
            <v/>
          </cell>
          <cell r="H1020" t="str">
            <v/>
          </cell>
          <cell r="I1020" t="str">
            <v/>
          </cell>
          <cell r="J1020" t="str">
            <v/>
          </cell>
        </row>
        <row r="1021">
          <cell r="B1021" t="str">
            <v>CN53007012</v>
          </cell>
          <cell r="C1021" t="str">
            <v/>
          </cell>
          <cell r="D1021" t="str">
            <v/>
          </cell>
          <cell r="E1021" t="e">
            <v>#VALUE!</v>
          </cell>
          <cell r="F1021" t="str">
            <v/>
          </cell>
          <cell r="G1021" t="str">
            <v/>
          </cell>
          <cell r="H1021" t="str">
            <v/>
          </cell>
          <cell r="I1021" t="str">
            <v/>
          </cell>
          <cell r="J1021" t="str">
            <v/>
          </cell>
        </row>
        <row r="1022">
          <cell r="B1022" t="str">
            <v>CN5300301</v>
          </cell>
          <cell r="C1022">
            <v>9220</v>
          </cell>
          <cell r="D1022">
            <v>1070</v>
          </cell>
          <cell r="E1022">
            <v>10290</v>
          </cell>
          <cell r="F1022">
            <v>10.4</v>
          </cell>
          <cell r="G1022">
            <v>10280</v>
          </cell>
          <cell r="H1022">
            <v>9220</v>
          </cell>
          <cell r="I1022">
            <v>1070</v>
          </cell>
          <cell r="J1022">
            <v>10.4</v>
          </cell>
        </row>
        <row r="1023">
          <cell r="B1023" t="str">
            <v>CN5300302</v>
          </cell>
          <cell r="C1023">
            <v>9260</v>
          </cell>
          <cell r="D1023">
            <v>1040</v>
          </cell>
          <cell r="E1023">
            <v>10300</v>
          </cell>
          <cell r="F1023">
            <v>10.1</v>
          </cell>
          <cell r="G1023">
            <v>10290</v>
          </cell>
          <cell r="H1023">
            <v>9240</v>
          </cell>
          <cell r="I1023">
            <v>1050</v>
          </cell>
          <cell r="J1023">
            <v>10.214296127119878</v>
          </cell>
        </row>
        <row r="1024">
          <cell r="B1024" t="str">
            <v>CN5300303</v>
          </cell>
          <cell r="C1024">
            <v>9280</v>
          </cell>
          <cell r="D1024">
            <v>930</v>
          </cell>
          <cell r="E1024">
            <v>10210</v>
          </cell>
          <cell r="F1024">
            <v>9.1</v>
          </cell>
          <cell r="G1024">
            <v>10260</v>
          </cell>
          <cell r="H1024">
            <v>9250</v>
          </cell>
          <cell r="I1024">
            <v>1010</v>
          </cell>
          <cell r="J1024">
            <v>9.8486324952900652</v>
          </cell>
        </row>
        <row r="1025">
          <cell r="B1025" t="str">
            <v>CN5300304</v>
          </cell>
          <cell r="C1025">
            <v>9280</v>
          </cell>
          <cell r="D1025">
            <v>920</v>
          </cell>
          <cell r="E1025">
            <v>10200</v>
          </cell>
          <cell r="F1025">
            <v>9</v>
          </cell>
          <cell r="G1025">
            <v>10250</v>
          </cell>
          <cell r="H1025">
            <v>9260</v>
          </cell>
          <cell r="I1025">
            <v>990</v>
          </cell>
          <cell r="J1025">
            <v>9.6401122361839704</v>
          </cell>
        </row>
        <row r="1026">
          <cell r="B1026" t="str">
            <v>CN5300305</v>
          </cell>
          <cell r="C1026">
            <v>9430</v>
          </cell>
          <cell r="D1026">
            <v>790</v>
          </cell>
          <cell r="E1026">
            <v>10220</v>
          </cell>
          <cell r="F1026">
            <v>7.7</v>
          </cell>
          <cell r="G1026">
            <v>10240</v>
          </cell>
          <cell r="H1026">
            <v>9290</v>
          </cell>
          <cell r="I1026">
            <v>950</v>
          </cell>
          <cell r="J1026">
            <v>9.2503613422399305</v>
          </cell>
        </row>
        <row r="1027">
          <cell r="B1027" t="str">
            <v>CN5300306</v>
          </cell>
          <cell r="C1027">
            <v>9070</v>
          </cell>
          <cell r="D1027">
            <v>920</v>
          </cell>
          <cell r="E1027">
            <v>9990</v>
          </cell>
          <cell r="F1027">
            <v>9.1999999999999993</v>
          </cell>
          <cell r="G1027">
            <v>10200</v>
          </cell>
          <cell r="H1027">
            <v>9260</v>
          </cell>
          <cell r="I1027">
            <v>940</v>
          </cell>
          <cell r="J1027">
            <v>9.2387396221481328</v>
          </cell>
        </row>
        <row r="1028">
          <cell r="B1028" t="str">
            <v>CN5300307</v>
          </cell>
          <cell r="C1028">
            <v>8820</v>
          </cell>
          <cell r="D1028">
            <v>660</v>
          </cell>
          <cell r="E1028">
            <v>9480</v>
          </cell>
          <cell r="F1028">
            <v>7</v>
          </cell>
          <cell r="G1028">
            <v>10100</v>
          </cell>
          <cell r="H1028">
            <v>9190</v>
          </cell>
          <cell r="I1028">
            <v>900</v>
          </cell>
          <cell r="J1028">
            <v>8.9329427912439332</v>
          </cell>
        </row>
        <row r="1029">
          <cell r="B1029" t="str">
            <v>CN5300308</v>
          </cell>
          <cell r="C1029" t="str">
            <v/>
          </cell>
          <cell r="D1029" t="str">
            <v/>
          </cell>
          <cell r="E1029" t="e">
            <v>#VALUE!</v>
          </cell>
          <cell r="F1029" t="str">
            <v/>
          </cell>
          <cell r="G1029" t="str">
            <v/>
          </cell>
          <cell r="H1029" t="str">
            <v/>
          </cell>
          <cell r="I1029" t="str">
            <v/>
          </cell>
          <cell r="J1029" t="str">
            <v/>
          </cell>
        </row>
        <row r="1030">
          <cell r="B1030" t="str">
            <v>CN5300309</v>
          </cell>
          <cell r="C1030" t="str">
            <v/>
          </cell>
          <cell r="D1030" t="str">
            <v/>
          </cell>
          <cell r="E1030" t="e">
            <v>#VALUE!</v>
          </cell>
          <cell r="F1030" t="str">
            <v/>
          </cell>
          <cell r="G1030" t="str">
            <v/>
          </cell>
          <cell r="H1030" t="str">
            <v/>
          </cell>
          <cell r="I1030" t="str">
            <v/>
          </cell>
          <cell r="J1030" t="str">
            <v/>
          </cell>
        </row>
        <row r="1031">
          <cell r="B1031" t="str">
            <v>CN53003010</v>
          </cell>
          <cell r="C1031" t="str">
            <v/>
          </cell>
          <cell r="D1031" t="str">
            <v/>
          </cell>
          <cell r="E1031" t="e">
            <v>#VALUE!</v>
          </cell>
          <cell r="F1031" t="str">
            <v/>
          </cell>
          <cell r="G1031" t="str">
            <v/>
          </cell>
          <cell r="H1031" t="str">
            <v/>
          </cell>
          <cell r="I1031" t="str">
            <v/>
          </cell>
          <cell r="J1031" t="str">
            <v/>
          </cell>
        </row>
        <row r="1032">
          <cell r="B1032" t="str">
            <v>CN53003011</v>
          </cell>
          <cell r="C1032" t="str">
            <v/>
          </cell>
          <cell r="D1032" t="str">
            <v/>
          </cell>
          <cell r="E1032" t="e">
            <v>#VALUE!</v>
          </cell>
          <cell r="F1032" t="str">
            <v/>
          </cell>
          <cell r="G1032" t="str">
            <v/>
          </cell>
          <cell r="H1032" t="str">
            <v/>
          </cell>
          <cell r="I1032" t="str">
            <v/>
          </cell>
          <cell r="J1032" t="str">
            <v/>
          </cell>
        </row>
        <row r="1033">
          <cell r="B1033" t="str">
            <v>CN53003012</v>
          </cell>
          <cell r="C1033" t="str">
            <v/>
          </cell>
          <cell r="D1033" t="str">
            <v/>
          </cell>
          <cell r="E1033" t="e">
            <v>#VALUE!</v>
          </cell>
          <cell r="F1033" t="str">
            <v/>
          </cell>
          <cell r="G1033" t="str">
            <v/>
          </cell>
          <cell r="H1033" t="str">
            <v/>
          </cell>
          <cell r="I1033" t="str">
            <v/>
          </cell>
          <cell r="J1033" t="str">
            <v/>
          </cell>
        </row>
        <row r="1034">
          <cell r="B1034" t="str">
            <v>CN5300101</v>
          </cell>
          <cell r="C1034">
            <v>7120</v>
          </cell>
          <cell r="D1034">
            <v>1210</v>
          </cell>
          <cell r="E1034">
            <v>8330</v>
          </cell>
          <cell r="F1034">
            <v>14.5</v>
          </cell>
          <cell r="G1034">
            <v>8330</v>
          </cell>
          <cell r="H1034">
            <v>7120</v>
          </cell>
          <cell r="I1034">
            <v>1210</v>
          </cell>
          <cell r="J1034">
            <v>14.5</v>
          </cell>
        </row>
        <row r="1035">
          <cell r="B1035" t="str">
            <v>CN5300102</v>
          </cell>
          <cell r="C1035">
            <v>7080</v>
          </cell>
          <cell r="D1035">
            <v>960</v>
          </cell>
          <cell r="E1035">
            <v>8040</v>
          </cell>
          <cell r="F1035">
            <v>11.9</v>
          </cell>
          <cell r="G1035">
            <v>8180</v>
          </cell>
          <cell r="H1035">
            <v>7100</v>
          </cell>
          <cell r="I1035">
            <v>1080</v>
          </cell>
          <cell r="J1035">
            <v>13.23718144594512</v>
          </cell>
        </row>
        <row r="1036">
          <cell r="B1036" t="str">
            <v>CN5300103</v>
          </cell>
          <cell r="C1036">
            <v>7360</v>
          </cell>
          <cell r="D1036">
            <v>820</v>
          </cell>
          <cell r="E1036">
            <v>8180</v>
          </cell>
          <cell r="F1036">
            <v>10</v>
          </cell>
          <cell r="G1036">
            <v>8180</v>
          </cell>
          <cell r="H1036">
            <v>7190</v>
          </cell>
          <cell r="I1036">
            <v>1000</v>
          </cell>
          <cell r="J1036">
            <v>12.169484620085557</v>
          </cell>
        </row>
        <row r="1037">
          <cell r="B1037" t="str">
            <v>CN5300104</v>
          </cell>
          <cell r="C1037">
            <v>7670</v>
          </cell>
          <cell r="D1037">
            <v>690</v>
          </cell>
          <cell r="E1037">
            <v>8360</v>
          </cell>
          <cell r="F1037">
            <v>8.1999999999999993</v>
          </cell>
          <cell r="G1037">
            <v>8220</v>
          </cell>
          <cell r="H1037">
            <v>7310</v>
          </cell>
          <cell r="I1037">
            <v>920</v>
          </cell>
          <cell r="J1037">
            <v>11.173591902489436</v>
          </cell>
        </row>
        <row r="1038">
          <cell r="B1038" t="str">
            <v>CN5300105</v>
          </cell>
          <cell r="C1038">
            <v>7690</v>
          </cell>
          <cell r="D1038">
            <v>680</v>
          </cell>
          <cell r="E1038">
            <v>8370</v>
          </cell>
          <cell r="F1038">
            <v>8.1</v>
          </cell>
          <cell r="G1038">
            <v>8250</v>
          </cell>
          <cell r="H1038">
            <v>7380</v>
          </cell>
          <cell r="I1038">
            <v>870</v>
          </cell>
          <cell r="J1038">
            <v>10.550803305304481</v>
          </cell>
        </row>
        <row r="1039">
          <cell r="B1039" t="str">
            <v>CN5300106</v>
          </cell>
          <cell r="C1039">
            <v>8060</v>
          </cell>
          <cell r="D1039">
            <v>690</v>
          </cell>
          <cell r="E1039">
            <v>8750</v>
          </cell>
          <cell r="F1039">
            <v>7.9</v>
          </cell>
          <cell r="G1039">
            <v>8340</v>
          </cell>
          <cell r="H1039">
            <v>7500</v>
          </cell>
          <cell r="I1039">
            <v>840</v>
          </cell>
          <cell r="J1039">
            <v>10.07978244786147</v>
          </cell>
        </row>
        <row r="1040">
          <cell r="B1040" t="str">
            <v>CN5300107</v>
          </cell>
          <cell r="C1040">
            <v>8350</v>
          </cell>
          <cell r="D1040">
            <v>690</v>
          </cell>
          <cell r="E1040">
            <v>9040</v>
          </cell>
          <cell r="F1040">
            <v>7.7</v>
          </cell>
          <cell r="G1040">
            <v>8440</v>
          </cell>
          <cell r="H1040">
            <v>7620</v>
          </cell>
          <cell r="I1040">
            <v>820</v>
          </cell>
          <cell r="J1040">
            <v>9.7107927799790037</v>
          </cell>
        </row>
        <row r="1041">
          <cell r="B1041" t="str">
            <v>CN5300108</v>
          </cell>
          <cell r="C1041" t="str">
            <v/>
          </cell>
          <cell r="D1041" t="str">
            <v/>
          </cell>
          <cell r="E1041" t="e">
            <v>#VALUE!</v>
          </cell>
          <cell r="F1041" t="str">
            <v/>
          </cell>
          <cell r="G1041" t="str">
            <v/>
          </cell>
          <cell r="H1041" t="str">
            <v/>
          </cell>
          <cell r="I1041" t="str">
            <v/>
          </cell>
          <cell r="J1041" t="str">
            <v/>
          </cell>
        </row>
        <row r="1042">
          <cell r="B1042" t="str">
            <v>CN5300109</v>
          </cell>
          <cell r="C1042" t="str">
            <v/>
          </cell>
          <cell r="D1042" t="str">
            <v/>
          </cell>
          <cell r="E1042" t="e">
            <v>#VALUE!</v>
          </cell>
          <cell r="F1042" t="str">
            <v/>
          </cell>
          <cell r="G1042" t="str">
            <v/>
          </cell>
          <cell r="H1042" t="str">
            <v/>
          </cell>
          <cell r="I1042" t="str">
            <v/>
          </cell>
          <cell r="J1042" t="str">
            <v/>
          </cell>
        </row>
        <row r="1043">
          <cell r="B1043" t="str">
            <v>CN53001010</v>
          </cell>
          <cell r="C1043" t="str">
            <v/>
          </cell>
          <cell r="D1043" t="str">
            <v/>
          </cell>
          <cell r="E1043" t="e">
            <v>#VALUE!</v>
          </cell>
          <cell r="F1043" t="str">
            <v/>
          </cell>
          <cell r="G1043" t="str">
            <v/>
          </cell>
          <cell r="H1043" t="str">
            <v/>
          </cell>
          <cell r="I1043" t="str">
            <v/>
          </cell>
          <cell r="J1043" t="str">
            <v/>
          </cell>
        </row>
        <row r="1044">
          <cell r="B1044" t="str">
            <v>CN53001011</v>
          </cell>
          <cell r="C1044" t="str">
            <v/>
          </cell>
          <cell r="D1044" t="str">
            <v/>
          </cell>
          <cell r="E1044" t="e">
            <v>#VALUE!</v>
          </cell>
          <cell r="F1044" t="str">
            <v/>
          </cell>
          <cell r="G1044" t="str">
            <v/>
          </cell>
          <cell r="H1044" t="str">
            <v/>
          </cell>
          <cell r="I1044" t="str">
            <v/>
          </cell>
          <cell r="J1044" t="str">
            <v/>
          </cell>
        </row>
        <row r="1045">
          <cell r="B1045" t="str">
            <v>CN53001012</v>
          </cell>
          <cell r="C1045" t="str">
            <v/>
          </cell>
          <cell r="D1045" t="str">
            <v/>
          </cell>
          <cell r="E1045" t="e">
            <v>#VALUE!</v>
          </cell>
          <cell r="F1045" t="str">
            <v/>
          </cell>
          <cell r="G1045" t="str">
            <v/>
          </cell>
          <cell r="H1045" t="str">
            <v/>
          </cell>
          <cell r="I1045" t="str">
            <v/>
          </cell>
          <cell r="J1045" t="str">
            <v/>
          </cell>
        </row>
        <row r="1046">
          <cell r="B1046" t="str">
            <v>CA5350001</v>
          </cell>
          <cell r="C1046">
            <v>2041520</v>
          </cell>
          <cell r="D1046">
            <v>206090</v>
          </cell>
          <cell r="E1046">
            <v>2247610</v>
          </cell>
          <cell r="F1046">
            <v>9.1999999999999993</v>
          </cell>
          <cell r="G1046">
            <v>2247610</v>
          </cell>
          <cell r="H1046">
            <v>2041520</v>
          </cell>
          <cell r="I1046">
            <v>206090</v>
          </cell>
          <cell r="J1046">
            <v>9.1999999999999993</v>
          </cell>
        </row>
        <row r="1047">
          <cell r="B1047" t="str">
            <v>CA5350002</v>
          </cell>
          <cell r="C1047">
            <v>2046260</v>
          </cell>
          <cell r="D1047">
            <v>210660</v>
          </cell>
          <cell r="E1047">
            <v>2256920</v>
          </cell>
          <cell r="F1047">
            <v>9.3000000000000007</v>
          </cell>
          <cell r="G1047">
            <v>2252260</v>
          </cell>
          <cell r="H1047">
            <v>2043890</v>
          </cell>
          <cell r="I1047">
            <v>208370</v>
          </cell>
          <cell r="J1047">
            <v>9.2517108891961861</v>
          </cell>
        </row>
        <row r="1048">
          <cell r="B1048" t="str">
            <v>CA5350003</v>
          </cell>
          <cell r="C1048">
            <v>2042770</v>
          </cell>
          <cell r="D1048">
            <v>208240</v>
          </cell>
          <cell r="E1048">
            <v>2251010</v>
          </cell>
          <cell r="F1048">
            <v>9.3000000000000007</v>
          </cell>
          <cell r="G1048">
            <v>2251850</v>
          </cell>
          <cell r="H1048">
            <v>2043520</v>
          </cell>
          <cell r="I1048">
            <v>208330</v>
          </cell>
          <cell r="J1048">
            <v>9.2514360446655974</v>
          </cell>
        </row>
        <row r="1049">
          <cell r="B1049" t="str">
            <v>CA5350004</v>
          </cell>
          <cell r="C1049">
            <v>2028330</v>
          </cell>
          <cell r="D1049">
            <v>190650</v>
          </cell>
          <cell r="E1049">
            <v>2218980</v>
          </cell>
          <cell r="F1049">
            <v>8.6</v>
          </cell>
          <cell r="G1049">
            <v>2243630</v>
          </cell>
          <cell r="H1049">
            <v>2039720</v>
          </cell>
          <cell r="I1049">
            <v>203910</v>
          </cell>
          <cell r="J1049">
            <v>9.0882854984044243</v>
          </cell>
        </row>
        <row r="1050">
          <cell r="B1050" t="str">
            <v>CA5350005</v>
          </cell>
          <cell r="C1050">
            <v>2040140</v>
          </cell>
          <cell r="D1050">
            <v>190600</v>
          </cell>
          <cell r="E1050">
            <v>2230740</v>
          </cell>
          <cell r="F1050">
            <v>8.5</v>
          </cell>
          <cell r="G1050">
            <v>2241050</v>
          </cell>
          <cell r="H1050">
            <v>2039800</v>
          </cell>
          <cell r="I1050">
            <v>201250</v>
          </cell>
          <cell r="J1050">
            <v>8.979952964896448</v>
          </cell>
        </row>
        <row r="1051">
          <cell r="B1051" t="str">
            <v>CA5350006</v>
          </cell>
          <cell r="C1051">
            <v>2025780</v>
          </cell>
          <cell r="D1051">
            <v>205010</v>
          </cell>
          <cell r="E1051">
            <v>2230790</v>
          </cell>
          <cell r="F1051">
            <v>9.1999999999999993</v>
          </cell>
          <cell r="G1051">
            <v>2239340</v>
          </cell>
          <cell r="H1051">
            <v>2037470</v>
          </cell>
          <cell r="I1051">
            <v>201870</v>
          </cell>
          <cell r="J1051">
            <v>9.0148389004018732</v>
          </cell>
        </row>
        <row r="1052">
          <cell r="B1052" t="str">
            <v>CA5350007</v>
          </cell>
          <cell r="C1052">
            <v>2017120</v>
          </cell>
          <cell r="D1052">
            <v>199910</v>
          </cell>
          <cell r="E1052">
            <v>2217030</v>
          </cell>
          <cell r="F1052">
            <v>9</v>
          </cell>
          <cell r="G1052">
            <v>2236150</v>
          </cell>
          <cell r="H1052">
            <v>2034560</v>
          </cell>
          <cell r="I1052">
            <v>201590</v>
          </cell>
          <cell r="J1052">
            <v>9.0151551159568495</v>
          </cell>
        </row>
        <row r="1053">
          <cell r="B1053" t="str">
            <v>CA5350008</v>
          </cell>
          <cell r="C1053" t="str">
            <v/>
          </cell>
          <cell r="D1053" t="str">
            <v/>
          </cell>
          <cell r="E1053" t="e">
            <v>#VALUE!</v>
          </cell>
          <cell r="F1053" t="str">
            <v/>
          </cell>
          <cell r="G1053" t="str">
            <v/>
          </cell>
          <cell r="H1053" t="str">
            <v/>
          </cell>
          <cell r="I1053" t="str">
            <v/>
          </cell>
          <cell r="J1053" t="str">
            <v/>
          </cell>
        </row>
        <row r="1054">
          <cell r="B1054" t="str">
            <v>CA5350009</v>
          </cell>
          <cell r="C1054" t="str">
            <v/>
          </cell>
          <cell r="D1054" t="str">
            <v/>
          </cell>
          <cell r="E1054" t="e">
            <v>#VALUE!</v>
          </cell>
          <cell r="F1054" t="str">
            <v/>
          </cell>
          <cell r="G1054" t="str">
            <v/>
          </cell>
          <cell r="H1054" t="str">
            <v/>
          </cell>
          <cell r="I1054" t="str">
            <v/>
          </cell>
          <cell r="J1054" t="str">
            <v/>
          </cell>
        </row>
        <row r="1055">
          <cell r="B1055" t="str">
            <v>CA53500010</v>
          </cell>
          <cell r="C1055" t="str">
            <v/>
          </cell>
          <cell r="D1055" t="str">
            <v/>
          </cell>
          <cell r="E1055" t="e">
            <v>#VALUE!</v>
          </cell>
          <cell r="F1055" t="str">
            <v/>
          </cell>
          <cell r="G1055" t="str">
            <v/>
          </cell>
          <cell r="H1055" t="str">
            <v/>
          </cell>
          <cell r="I1055" t="str">
            <v/>
          </cell>
          <cell r="J1055" t="str">
            <v/>
          </cell>
        </row>
        <row r="1056">
          <cell r="B1056" t="str">
            <v>CA53500011</v>
          </cell>
          <cell r="C1056" t="str">
            <v/>
          </cell>
          <cell r="D1056" t="str">
            <v/>
          </cell>
          <cell r="E1056" t="e">
            <v>#VALUE!</v>
          </cell>
          <cell r="F1056" t="str">
            <v/>
          </cell>
          <cell r="G1056" t="str">
            <v/>
          </cell>
          <cell r="H1056" t="str">
            <v/>
          </cell>
          <cell r="I1056" t="str">
            <v/>
          </cell>
          <cell r="J1056" t="str">
            <v/>
          </cell>
        </row>
        <row r="1057">
          <cell r="B1057" t="str">
            <v>CA53500012</v>
          </cell>
          <cell r="C1057" t="str">
            <v/>
          </cell>
          <cell r="D1057" t="str">
            <v/>
          </cell>
          <cell r="E1057" t="e">
            <v>#VALUE!</v>
          </cell>
          <cell r="F1057" t="str">
            <v/>
          </cell>
          <cell r="G1057" t="str">
            <v/>
          </cell>
          <cell r="H1057" t="str">
            <v/>
          </cell>
          <cell r="I1057" t="str">
            <v/>
          </cell>
          <cell r="J1057" t="str">
            <v/>
          </cell>
        </row>
      </sheetData>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http://www.wa.gov/Documents%20and%20Settings/swheeler/Application%20Data/Microsoft/Excel/System%20Performance%20Dashboard%20PY11Q1%20(version%201).xlsb" TargetMode="External"/><Relationship Id="rId1" Type="http://schemas.openxmlformats.org/officeDocument/2006/relationships/pivotCacheRecords" Target="pivotCacheRecords1.xml"/></Relationships>
</file>

<file path=xl/pivotCache/_rels/pivotCacheDefinition10.xml.rels><?xml version="1.0" encoding="UTF-8" standalone="yes"?>
<Relationships xmlns="http://schemas.openxmlformats.org/package/2006/relationships"><Relationship Id="rId1" Type="http://schemas.openxmlformats.org/officeDocument/2006/relationships/pivotCacheRecords" Target="pivotCacheRecords10.xml"/></Relationships>
</file>

<file path=xl/pivotCache/_rels/pivotCacheDefinition11.xml.rels><?xml version="1.0" encoding="UTF-8" standalone="yes"?>
<Relationships xmlns="http://schemas.openxmlformats.org/package/2006/relationships"><Relationship Id="rId1" Type="http://schemas.openxmlformats.org/officeDocument/2006/relationships/pivotCacheRecords" Target="pivotCacheRecords11.xml"/></Relationships>
</file>

<file path=xl/pivotCache/_rels/pivotCacheDefinition12.xml.rels><?xml version="1.0" encoding="UTF-8" standalone="yes"?>
<Relationships xmlns="http://schemas.openxmlformats.org/package/2006/relationships"><Relationship Id="rId1" Type="http://schemas.openxmlformats.org/officeDocument/2006/relationships/pivotCacheRecords" Target="pivotCacheRecords12.xml"/></Relationships>
</file>

<file path=xl/pivotCache/_rels/pivotCacheDefinition13.xml.rels><?xml version="1.0" encoding="UTF-8" standalone="yes"?>
<Relationships xmlns="http://schemas.openxmlformats.org/package/2006/relationships"><Relationship Id="rId1" Type="http://schemas.openxmlformats.org/officeDocument/2006/relationships/pivotCacheRecords" Target="pivotCacheRecords13.xml"/></Relationships>
</file>

<file path=xl/pivotCache/_rels/pivotCacheDefinition14.xml.rels><?xml version="1.0" encoding="UTF-8" standalone="yes"?>
<Relationships xmlns="http://schemas.openxmlformats.org/package/2006/relationships"><Relationship Id="rId1" Type="http://schemas.openxmlformats.org/officeDocument/2006/relationships/pivotCacheRecords" Target="pivotCacheRecords14.xml"/></Relationships>
</file>

<file path=xl/pivotCache/_rels/pivotCacheDefinition15.xml.rels><?xml version="1.0" encoding="UTF-8" standalone="yes"?>
<Relationships xmlns="http://schemas.openxmlformats.org/package/2006/relationships"><Relationship Id="rId1" Type="http://schemas.openxmlformats.org/officeDocument/2006/relationships/pivotCacheRecords" Target="pivotCacheRecords15.xml"/></Relationships>
</file>

<file path=xl/pivotCache/_rels/pivotCacheDefinition16.xml.rels><?xml version="1.0" encoding="UTF-8" standalone="yes"?>
<Relationships xmlns="http://schemas.openxmlformats.org/package/2006/relationships"><Relationship Id="rId1" Type="http://schemas.openxmlformats.org/officeDocument/2006/relationships/pivotCacheRecords" Target="pivotCacheRecords16.xml"/></Relationships>
</file>

<file path=xl/pivotCache/_rels/pivotCacheDefinition17.xml.rels><?xml version="1.0" encoding="UTF-8" standalone="yes"?>
<Relationships xmlns="http://schemas.openxmlformats.org/package/2006/relationships"><Relationship Id="rId1" Type="http://schemas.openxmlformats.org/officeDocument/2006/relationships/pivotCacheRecords" Target="pivotCacheRecords17.xml"/></Relationships>
</file>

<file path=xl/pivotCache/_rels/pivotCacheDefinition18.xml.rels><?xml version="1.0" encoding="UTF-8" standalone="yes"?>
<Relationships xmlns="http://schemas.openxmlformats.org/package/2006/relationships"><Relationship Id="rId1" Type="http://schemas.openxmlformats.org/officeDocument/2006/relationships/pivotCacheRecords" Target="pivotCacheRecords18.xml"/></Relationships>
</file>

<file path=xl/pivotCache/_rels/pivotCacheDefinition19.xml.rels><?xml version="1.0" encoding="UTF-8" standalone="yes"?>
<Relationships xmlns="http://schemas.openxmlformats.org/package/2006/relationships"><Relationship Id="rId1" Type="http://schemas.openxmlformats.org/officeDocument/2006/relationships/pivotCacheRecords" Target="pivotCacheRecords19.xml"/></Relationships>
</file>

<file path=xl/pivotCache/_rels/pivotCacheDefinition2.xml.rels><?xml version="1.0" encoding="UTF-8" standalone="yes"?>
<Relationships xmlns="http://schemas.openxmlformats.org/package/2006/relationships"><Relationship Id="rId2" Type="http://schemas.openxmlformats.org/officeDocument/2006/relationships/externalLinkPath" Target="http://esdsharepoint/wsid/Performance/Shared%20Documents/Dashboard/LaborForce%20Stats%20Nov2011.xlsm" TargetMode="External"/><Relationship Id="rId1" Type="http://schemas.openxmlformats.org/officeDocument/2006/relationships/pivotCacheRecords" Target="pivotCacheRecords2.xml"/></Relationships>
</file>

<file path=xl/pivotCache/_rels/pivotCacheDefinition20.xml.rels><?xml version="1.0" encoding="UTF-8" standalone="yes"?>
<Relationships xmlns="http://schemas.openxmlformats.org/package/2006/relationships"><Relationship Id="rId1" Type="http://schemas.openxmlformats.org/officeDocument/2006/relationships/pivotCacheRecords" Target="pivotCacheRecords20.xml"/></Relationships>
</file>

<file path=xl/pivotCache/_rels/pivotCacheDefinition21.xml.rels><?xml version="1.0" encoding="UTF-8" standalone="yes"?>
<Relationships xmlns="http://schemas.openxmlformats.org/package/2006/relationships"><Relationship Id="rId1" Type="http://schemas.openxmlformats.org/officeDocument/2006/relationships/pivotCacheRecords" Target="pivotCacheRecords21.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1" Type="http://schemas.openxmlformats.org/officeDocument/2006/relationships/pivotCacheRecords" Target="pivotCacheRecords4.xml"/></Relationships>
</file>

<file path=xl/pivotCache/_rels/pivotCacheDefinition5.xml.rels><?xml version="1.0" encoding="UTF-8" standalone="yes"?>
<Relationships xmlns="http://schemas.openxmlformats.org/package/2006/relationships"><Relationship Id="rId1" Type="http://schemas.openxmlformats.org/officeDocument/2006/relationships/pivotCacheRecords" Target="pivotCacheRecords5.xml"/></Relationships>
</file>

<file path=xl/pivotCache/_rels/pivotCacheDefinition6.xml.rels><?xml version="1.0" encoding="UTF-8" standalone="yes"?>
<Relationships xmlns="http://schemas.openxmlformats.org/package/2006/relationships"><Relationship Id="rId1" Type="http://schemas.openxmlformats.org/officeDocument/2006/relationships/pivotCacheRecords" Target="pivotCacheRecords6.xml"/></Relationships>
</file>

<file path=xl/pivotCache/_rels/pivotCacheDefinition7.xml.rels><?xml version="1.0" encoding="UTF-8" standalone="yes"?>
<Relationships xmlns="http://schemas.openxmlformats.org/package/2006/relationships"><Relationship Id="rId1" Type="http://schemas.openxmlformats.org/officeDocument/2006/relationships/pivotCacheRecords" Target="pivotCacheRecords7.xml"/></Relationships>
</file>

<file path=xl/pivotCache/_rels/pivotCacheDefinition8.xml.rels><?xml version="1.0" encoding="UTF-8" standalone="yes"?>
<Relationships xmlns="http://schemas.openxmlformats.org/package/2006/relationships"><Relationship Id="rId1" Type="http://schemas.openxmlformats.org/officeDocument/2006/relationships/pivotCacheRecords" Target="pivotCacheRecords8.xml"/></Relationships>
</file>

<file path=xl/pivotCache/_rels/pivotCacheDefinition9.xml.rels><?xml version="1.0" encoding="UTF-8" standalone="yes"?>
<Relationships xmlns="http://schemas.openxmlformats.org/package/2006/relationships"><Relationship Id="rId1" Type="http://schemas.openxmlformats.org/officeDocument/2006/relationships/pivotCacheRecords" Target="pivotCacheRecords9.xml"/></Relationships>
</file>

<file path=xl/pivotCache/pivotCacheDefinition1.xml><?xml version="1.0" encoding="utf-8"?>
<pivotCacheDefinition xmlns="http://schemas.openxmlformats.org/spreadsheetml/2006/main" xmlns:r="http://schemas.openxmlformats.org/officeDocument/2006/relationships" r:id="rId1" refreshedBy="swheeler" refreshedDate="40849.565629976853" createdVersion="3" refreshedVersion="3" minRefreshableVersion="3" recordCount="741">
  <cacheSource type="worksheet">
    <worksheetSource ref="A1:K742" sheet="PopulationAgeSexRace" r:id="rId2"/>
  </cacheSource>
  <cacheFields count="11">
    <cacheField name="COUNTY" numFmtId="0">
      <sharedItems containsSemiMixedTypes="0" containsString="0" containsNumber="1" containsInteger="1" minValue="1" maxValue="77"/>
    </cacheField>
    <cacheField name="CTYNAME" numFmtId="0">
      <sharedItems/>
    </cacheField>
    <cacheField name="AGEGRP" numFmtId="0">
      <sharedItems containsSemiMixedTypes="0" containsString="0" containsNumber="1" containsInteger="1" minValue="0" maxValue="18" count="19">
        <n v="0"/>
        <n v="1"/>
        <n v="2"/>
        <n v="3"/>
        <n v="4"/>
        <n v="5"/>
        <n v="6"/>
        <n v="7"/>
        <n v="8"/>
        <n v="9"/>
        <n v="10"/>
        <n v="11"/>
        <n v="12"/>
        <n v="13"/>
        <n v="14"/>
        <n v="15"/>
        <n v="16"/>
        <n v="17"/>
        <n v="18"/>
      </sharedItems>
    </cacheField>
    <cacheField name="TOT_POP" numFmtId="0">
      <sharedItems containsSemiMixedTypes="0" containsString="0" containsNumber="1" containsInteger="1" minValue="69" maxValue="1916441"/>
    </cacheField>
    <cacheField name="TOT_MALE" numFmtId="0">
      <sharedItems containsSemiMixedTypes="0" containsString="0" containsNumber="1" containsInteger="1" minValue="31" maxValue="958922"/>
    </cacheField>
    <cacheField name="TOT_FEMALE" numFmtId="0">
      <sharedItems containsSemiMixedTypes="0" containsString="0" containsNumber="1" containsInteger="1" minValue="29" maxValue="957519"/>
    </cacheField>
    <cacheField name="WA_MALE" numFmtId="0">
      <sharedItems containsSemiMixedTypes="0" containsString="0" containsNumber="1" containsInteger="1" minValue="31" maxValue="717561"/>
    </cacheField>
    <cacheField name="WA_FEMALE" numFmtId="0">
      <sharedItems containsSemiMixedTypes="0" containsString="0" containsNumber="1" containsInteger="1" minValue="23" maxValue="709294"/>
    </cacheField>
    <cacheField name="Protected Racial Class" numFmtId="0">
      <sharedItems containsSemiMixedTypes="0" containsString="0" containsNumber="1" containsInteger="1" minValue="0" maxValue="489586"/>
    </cacheField>
    <cacheField name="Area" numFmtId="0">
      <sharedItems/>
    </cacheField>
    <cacheField name="Area#" numFmtId="0">
      <sharedItems containsSemiMixedTypes="0" containsString="0" containsNumber="1" containsInteger="1" minValue="1" maxValue="12" count="12">
        <n v="8"/>
        <n v="10"/>
        <n v="11"/>
        <n v="1"/>
        <n v="7"/>
        <n v="2"/>
        <n v="3"/>
        <n v="5"/>
        <n v="9"/>
        <n v="6"/>
        <n v="4"/>
        <n v="12"/>
      </sharedItems>
    </cacheField>
  </cacheFields>
  <extLst>
    <ext xmlns:x14="http://schemas.microsoft.com/office/spreadsheetml/2009/9/main" uri="{725AE2AE-9491-48be-B2B4-4EB974FC3084}">
      <x14:pivotCacheDefinition/>
    </ext>
  </extLst>
</pivotCacheDefinition>
</file>

<file path=xl/pivotCache/pivotCacheDefinition10.xml><?xml version="1.0" encoding="utf-8"?>
<pivotCacheDefinition xmlns="http://schemas.openxmlformats.org/spreadsheetml/2006/main" xmlns:r="http://schemas.openxmlformats.org/officeDocument/2006/relationships" r:id="rId1" refreshedBy="swheeler" refreshedDate="40876.36149560185" createdVersion="3" refreshedVersion="3" minRefreshableVersion="3" recordCount="1">
  <cacheSource type="external" connectionId="22"/>
  <cacheFields count="12">
    <cacheField name="1" numFmtId="0">
      <sharedItems containsSemiMixedTypes="0" containsString="0" containsNumber="1" containsInteger="1" minValue="450" maxValue="450" count="1">
        <n v="450"/>
      </sharedItems>
    </cacheField>
    <cacheField name="2" numFmtId="0">
      <sharedItems containsSemiMixedTypes="0" containsString="0" containsNumber="1" containsInteger="1" minValue="626" maxValue="626" count="1">
        <n v="626"/>
      </sharedItems>
    </cacheField>
    <cacheField name="3" numFmtId="0">
      <sharedItems containsSemiMixedTypes="0" containsString="0" containsNumber="1" containsInteger="1" minValue="234" maxValue="234" count="1">
        <n v="234"/>
      </sharedItems>
    </cacheField>
    <cacheField name="4" numFmtId="0">
      <sharedItems containsSemiMixedTypes="0" containsString="0" containsNumber="1" containsInteger="1" minValue="777" maxValue="777" count="1">
        <n v="777"/>
      </sharedItems>
    </cacheField>
    <cacheField name="5" numFmtId="0">
      <sharedItems containsSemiMixedTypes="0" containsString="0" containsNumber="1" containsInteger="1" minValue="528" maxValue="528" count="1">
        <n v="528"/>
      </sharedItems>
    </cacheField>
    <cacheField name="6" numFmtId="0">
      <sharedItems containsSemiMixedTypes="0" containsString="0" containsNumber="1" containsInteger="1" minValue="320" maxValue="320" count="1">
        <n v="320"/>
      </sharedItems>
    </cacheField>
    <cacheField name="7" numFmtId="0">
      <sharedItems containsSemiMixedTypes="0" containsString="0" containsNumber="1" containsInteger="1" minValue="343" maxValue="343" count="1">
        <n v="343"/>
      </sharedItems>
    </cacheField>
    <cacheField name="8" numFmtId="0">
      <sharedItems containsSemiMixedTypes="0" containsString="0" containsNumber="1" containsInteger="1" minValue="4150" maxValue="4150" count="1">
        <n v="4150"/>
      </sharedItems>
    </cacheField>
    <cacheField name="9" numFmtId="0">
      <sharedItems containsSemiMixedTypes="0" containsString="0" containsNumber="1" containsInteger="1" minValue="2568" maxValue="2568" count="1">
        <n v="2568"/>
      </sharedItems>
    </cacheField>
    <cacheField name="10" numFmtId="0">
      <sharedItems containsSemiMixedTypes="0" containsString="0" containsNumber="1" containsInteger="1" minValue="401" maxValue="401" count="1">
        <n v="401"/>
      </sharedItems>
    </cacheField>
    <cacheField name="11" numFmtId="0">
      <sharedItems containsSemiMixedTypes="0" containsString="0" containsNumber="1" containsInteger="1" minValue="1515" maxValue="1515" count="1">
        <n v="1515"/>
      </sharedItems>
    </cacheField>
    <cacheField name="12" numFmtId="0">
      <sharedItems containsSemiMixedTypes="0" containsString="0" containsNumber="1" containsInteger="1" minValue="237" maxValue="237" count="1">
        <n v="237"/>
      </sharedItems>
    </cacheField>
  </cacheFields>
  <extLst>
    <ext xmlns:x14="http://schemas.microsoft.com/office/spreadsheetml/2009/9/main" uri="{725AE2AE-9491-48be-B2B4-4EB974FC3084}">
      <x14:pivotCacheDefinition/>
    </ext>
  </extLst>
</pivotCacheDefinition>
</file>

<file path=xl/pivotCache/pivotCacheDefinition11.xml><?xml version="1.0" encoding="utf-8"?>
<pivotCacheDefinition xmlns="http://schemas.openxmlformats.org/spreadsheetml/2006/main" xmlns:r="http://schemas.openxmlformats.org/officeDocument/2006/relationships" r:id="rId1" refreshedBy="swheeler" refreshedDate="40876.361495717596" createdVersion="3" refreshedVersion="3" minRefreshableVersion="3" recordCount="1">
  <cacheSource type="external" connectionId="8"/>
  <cacheFields count="12">
    <cacheField name="1" numFmtId="0">
      <sharedItems containsSemiMixedTypes="0" containsString="0" containsNumber="1" containsInteger="1" minValue="342" maxValue="342" count="1">
        <n v="342"/>
      </sharedItems>
    </cacheField>
    <cacheField name="2" numFmtId="0">
      <sharedItems containsSemiMixedTypes="0" containsString="0" containsNumber="1" containsInteger="1" minValue="517" maxValue="517" count="1">
        <n v="517"/>
      </sharedItems>
    </cacheField>
    <cacheField name="3" numFmtId="0">
      <sharedItems containsSemiMixedTypes="0" containsString="0" containsNumber="1" containsInteger="1" minValue="292" maxValue="292" count="1">
        <n v="292"/>
      </sharedItems>
    </cacheField>
    <cacheField name="4" numFmtId="0">
      <sharedItems containsSemiMixedTypes="0" containsString="0" containsNumber="1" containsInteger="1" minValue="628" maxValue="628" count="1">
        <n v="628"/>
      </sharedItems>
    </cacheField>
    <cacheField name="5" numFmtId="0">
      <sharedItems containsSemiMixedTypes="0" containsString="0" containsNumber="1" containsInteger="1" minValue="948" maxValue="948" count="1">
        <n v="948"/>
      </sharedItems>
    </cacheField>
    <cacheField name="6" numFmtId="0">
      <sharedItems containsSemiMixedTypes="0" containsString="0" containsNumber="1" containsInteger="1" minValue="1039" maxValue="1039" count="1">
        <n v="1039"/>
      </sharedItems>
    </cacheField>
    <cacheField name="7" numFmtId="0">
      <sharedItems containsSemiMixedTypes="0" containsString="0" containsNumber="1" containsInteger="1" minValue="681" maxValue="681" count="1">
        <n v="681"/>
      </sharedItems>
    </cacheField>
    <cacheField name="8" numFmtId="0">
      <sharedItems containsSemiMixedTypes="0" containsString="0" containsNumber="1" containsInteger="1" minValue="3653" maxValue="3653" count="1">
        <n v="3653"/>
      </sharedItems>
    </cacheField>
    <cacheField name="9" numFmtId="0">
      <sharedItems containsSemiMixedTypes="0" containsString="0" containsNumber="1" containsInteger="1" minValue="1938" maxValue="1938" count="1">
        <n v="1938"/>
      </sharedItems>
    </cacheField>
    <cacheField name="10" numFmtId="0">
      <sharedItems containsSemiMixedTypes="0" containsString="0" containsNumber="1" containsInteger="1" minValue="432" maxValue="432" count="1">
        <n v="432"/>
      </sharedItems>
    </cacheField>
    <cacheField name="11" numFmtId="0">
      <sharedItems containsSemiMixedTypes="0" containsString="0" containsNumber="1" containsInteger="1" minValue="1532" maxValue="1532" count="1">
        <n v="1532"/>
      </sharedItems>
    </cacheField>
    <cacheField name="12" numFmtId="0">
      <sharedItems containsSemiMixedTypes="0" containsString="0" containsNumber="1" containsInteger="1" minValue="414" maxValue="414" count="1">
        <n v="414"/>
      </sharedItems>
    </cacheField>
  </cacheFields>
  <extLst>
    <ext xmlns:x14="http://schemas.microsoft.com/office/spreadsheetml/2009/9/main" uri="{725AE2AE-9491-48be-B2B4-4EB974FC3084}">
      <x14:pivotCacheDefinition/>
    </ext>
  </extLst>
</pivotCacheDefinition>
</file>

<file path=xl/pivotCache/pivotCacheDefinition12.xml><?xml version="1.0" encoding="utf-8"?>
<pivotCacheDefinition xmlns="http://schemas.openxmlformats.org/spreadsheetml/2006/main" xmlns:r="http://schemas.openxmlformats.org/officeDocument/2006/relationships" r:id="rId1" refreshedBy="swheeler" refreshedDate="40876.36149722222" createdVersion="3" refreshedVersion="3" minRefreshableVersion="3" recordCount="12">
  <cacheSource type="external" connectionId="7"/>
  <cacheFields count="6">
    <cacheField name="REGIONID" numFmtId="0">
      <sharedItems containsSemiMixedTypes="0" containsString="0" containsNumber="1" containsInteger="1" minValue="1" maxValue="12" count="12">
        <n v="1"/>
        <n v="10"/>
        <n v="11"/>
        <n v="12"/>
        <n v="2"/>
        <n v="3"/>
        <n v="4"/>
        <n v="5"/>
        <n v="6"/>
        <n v="7"/>
        <n v="8"/>
        <n v="9"/>
      </sharedItems>
    </cacheField>
    <cacheField name="CountOfSEEKERID" numFmtId="0">
      <sharedItems containsSemiMixedTypes="0" containsString="0" containsNumber="1" containsInteger="1" minValue="3101" maxValue="18006" count="12">
        <n v="3828"/>
        <n v="3101"/>
        <n v="4839"/>
        <n v="4785"/>
        <n v="6235"/>
        <n v="3783"/>
        <n v="7800"/>
        <n v="18006"/>
        <n v="7641"/>
        <n v="5296"/>
        <n v="7803"/>
        <n v="6115"/>
      </sharedItems>
    </cacheField>
    <cacheField name="CountOfSERVICEDATE" numFmtId="0">
      <sharedItems containsSemiMixedTypes="0" containsString="0" containsNumber="1" containsInteger="1" minValue="9641" maxValue="51094" count="12">
        <n v="10994"/>
        <n v="13970"/>
        <n v="12071"/>
        <n v="14777"/>
        <n v="22588"/>
        <n v="9641"/>
        <n v="41989"/>
        <n v="51094"/>
        <n v="20958"/>
        <n v="18347"/>
        <n v="27639"/>
        <n v="18083"/>
      </sharedItems>
    </cacheField>
    <cacheField name="OldWages" numFmtId="0">
      <sharedItems containsSemiMixedTypes="0" containsString="0" containsNumber="1" minValue="589.79999999999995" maxValue="6315.51" count="12">
        <n v="2502.1799999999998"/>
        <n v="2848.85"/>
        <n v="5971.2"/>
        <n v="589.79999999999995"/>
        <n v="2592.73"/>
        <n v="1575.6"/>
        <n v="2020"/>
        <n v="1242.72"/>
        <n v="1331.71"/>
        <n v="2013.07"/>
        <n v="6315.51"/>
        <n v="3186.37"/>
      </sharedItems>
    </cacheField>
    <cacheField name="NewWages" numFmtId="0">
      <sharedItems containsSemiMixedTypes="0" containsString="0" containsNumber="1" minValue="466.42" maxValue="5666.9" count="12">
        <n v="2039.31"/>
        <n v="2394.1"/>
        <n v="5666.9"/>
        <n v="466.42"/>
        <n v="2106.27"/>
        <n v="1312.92"/>
        <n v="1345.62"/>
        <n v="1031.47"/>
        <n v="989.35"/>
        <n v="1633.46"/>
        <n v="5658.78"/>
        <n v="3050.66"/>
      </sharedItems>
    </cacheField>
    <cacheField name="AvgOfDuration" numFmtId="0">
      <sharedItems containsSemiMixedTypes="0" containsString="0" containsNumber="1" minValue="9.6166365280289323" maxValue="29.447887323943661" count="12">
        <n v="10.447811447811448"/>
        <n v="13.74909090909091"/>
        <n v="24.093023255813954"/>
        <n v="9.6166365280289323"/>
        <n v="18.658536585365855"/>
        <n v="12.882113821138212"/>
        <n v="12.332116788321168"/>
        <n v="12.805111821086262"/>
        <n v="29.447887323943661"/>
        <n v="15.202928870292887"/>
        <n v="11.692810457516339"/>
        <n v="19.301136363636363"/>
      </sharedItems>
    </cacheField>
  </cacheFields>
  <extLst>
    <ext xmlns:x14="http://schemas.microsoft.com/office/spreadsheetml/2009/9/main" uri="{725AE2AE-9491-48be-B2B4-4EB974FC3084}">
      <x14:pivotCacheDefinition/>
    </ext>
  </extLst>
</pivotCacheDefinition>
</file>

<file path=xl/pivotCache/pivotCacheDefinition13.xml><?xml version="1.0" encoding="utf-8"?>
<pivotCacheDefinition xmlns="http://schemas.openxmlformats.org/spreadsheetml/2006/main" xmlns:r="http://schemas.openxmlformats.org/officeDocument/2006/relationships" r:id="rId1" refreshedBy="swheeler" refreshedDate="40876.361497337966" createdVersion="3" refreshedVersion="3" minRefreshableVersion="3" recordCount="13">
  <cacheSource type="external" connectionId="11"/>
  <cacheFields count="6">
    <cacheField name="REGIONID" numFmtId="0">
      <sharedItems containsSemiMixedTypes="0" containsString="0" containsNumber="1" containsInteger="1" minValue="1" maxValue="13" count="13">
        <n v="1"/>
        <n v="10"/>
        <n v="11"/>
        <n v="12"/>
        <n v="13"/>
        <n v="2"/>
        <n v="3"/>
        <n v="4"/>
        <n v="5"/>
        <n v="6"/>
        <n v="7"/>
        <n v="8"/>
        <n v="9"/>
      </sharedItems>
    </cacheField>
    <cacheField name="EOSeekersServedCount_CountOfSEEKERID" numFmtId="0">
      <sharedItems containsSemiMixedTypes="0" containsString="0" containsNumber="1" containsInteger="1" minValue="773" maxValue="29776" count="13">
        <n v="7808"/>
        <n v="6687"/>
        <n v="6977"/>
        <n v="12033"/>
        <n v="773"/>
        <n v="14313"/>
        <n v="7356"/>
        <n v="19366"/>
        <n v="29776"/>
        <n v="14777"/>
        <n v="11292"/>
        <n v="12196"/>
        <n v="11692"/>
      </sharedItems>
    </cacheField>
    <cacheField name="EOGenderCount_CountOfSEEKERID" numFmtId="0">
      <sharedItems containsSemiMixedTypes="0" containsString="0" containsNumber="1" containsInteger="1" minValue="139" maxValue="13168" count="13">
        <n v="3218"/>
        <n v="2546"/>
        <n v="2823"/>
        <n v="4764"/>
        <n v="139"/>
        <n v="5740"/>
        <n v="2923"/>
        <n v="7091"/>
        <n v="13168"/>
        <n v="6161"/>
        <n v="4749"/>
        <n v="4698"/>
        <n v="5159"/>
      </sharedItems>
    </cacheField>
    <cacheField name="EORaceCount_CountOfSEEKERID" numFmtId="0">
      <sharedItems containsSemiMixedTypes="0" containsString="0" containsNumber="1" containsInteger="1" minValue="271" maxValue="12501" count="13">
        <n v="1427"/>
        <n v="926"/>
        <n v="2338"/>
        <n v="2006"/>
        <n v="271"/>
        <n v="2342"/>
        <n v="1301"/>
        <n v="4765"/>
        <n v="12501"/>
        <n v="5621"/>
        <n v="2007"/>
        <n v="2706"/>
        <n v="5331"/>
      </sharedItems>
    </cacheField>
    <cacheField name="EOAgeCount_CountOfSEEKERID" numFmtId="0">
      <sharedItems containsSemiMixedTypes="0" containsString="0" containsNumber="1" containsInteger="1" minValue="61" maxValue="6449" count="13">
        <n v="1747"/>
        <n v="1252"/>
        <n v="938"/>
        <n v="2114"/>
        <n v="61"/>
        <n v="2573"/>
        <n v="1539"/>
        <n v="4329"/>
        <n v="6449"/>
        <n v="2660"/>
        <n v="1971"/>
        <n v="2157"/>
        <n v="1984"/>
      </sharedItems>
    </cacheField>
    <cacheField name="EODisabilityCount_CountOfSEEKERID" numFmtId="0">
      <sharedItems containsSemiMixedTypes="0" containsString="0" containsNumber="1" containsInteger="1" minValue="49" maxValue="1238" count="13">
        <n v="418"/>
        <n v="278"/>
        <n v="171"/>
        <n v="630"/>
        <n v="49"/>
        <n v="763"/>
        <n v="249"/>
        <n v="1238"/>
        <n v="1181"/>
        <n v="836"/>
        <n v="671"/>
        <n v="360"/>
        <n v="415"/>
      </sharedItems>
    </cacheField>
  </cacheFields>
  <extLst>
    <ext xmlns:x14="http://schemas.microsoft.com/office/spreadsheetml/2009/9/main" uri="{725AE2AE-9491-48be-B2B4-4EB974FC3084}">
      <x14:pivotCacheDefinition/>
    </ext>
  </extLst>
</pivotCacheDefinition>
</file>

<file path=xl/pivotCache/pivotCacheDefinition14.xml><?xml version="1.0" encoding="utf-8"?>
<pivotCacheDefinition xmlns="http://schemas.openxmlformats.org/spreadsheetml/2006/main" xmlns:r="http://schemas.openxmlformats.org/officeDocument/2006/relationships" r:id="rId1" refreshedBy="swheeler" refreshedDate="40876.361497569444" createdVersion="3" refreshedVersion="3" minRefreshableVersion="3" recordCount="12">
  <cacheSource type="external" connectionId="12"/>
  <cacheFields count="9">
    <cacheField name="REGIONID" numFmtId="0">
      <sharedItems containsSemiMixedTypes="0" containsString="0" containsNumber="1" containsInteger="1" minValue="1" maxValue="12" count="12">
        <n v="1"/>
        <n v="2"/>
        <n v="3"/>
        <n v="4"/>
        <n v="5"/>
        <n v="6"/>
        <n v="7"/>
        <n v="8"/>
        <n v="9"/>
        <n v="10"/>
        <n v="11"/>
        <n v="12"/>
      </sharedItems>
    </cacheField>
    <cacheField name="EOWIASEEKERCOUNT_CountOfSEEKER_ID" numFmtId="0">
      <sharedItems containsSemiMixedTypes="0" containsString="0" containsNumber="1" containsInteger="1" minValue="598" maxValue="3357" count="12">
        <n v="1046"/>
        <n v="2284"/>
        <n v="918"/>
        <n v="1964"/>
        <n v="3357"/>
        <n v="1532"/>
        <n v="2541"/>
        <n v="1110"/>
        <n v="1167"/>
        <n v="912"/>
        <n v="598"/>
        <n v="1624"/>
      </sharedItems>
    </cacheField>
    <cacheField name="EOWIAGENDERCOUNT_CountOfSEEKER_ID" numFmtId="0">
      <sharedItems containsSemiMixedTypes="0" containsString="0" containsNumber="1" containsInteger="1" minValue="354" maxValue="1922" count="12">
        <n v="552"/>
        <n v="953"/>
        <n v="504"/>
        <n v="921"/>
        <n v="1922"/>
        <n v="814"/>
        <n v="1179"/>
        <n v="647"/>
        <n v="612"/>
        <n v="420"/>
        <n v="354"/>
        <n v="795"/>
      </sharedItems>
    </cacheField>
    <cacheField name="EOWIARACECOUNT_CountOfSEEKER_ID" numFmtId="0">
      <sharedItems containsSemiMixedTypes="0" containsString="0" containsNumber="1" containsInteger="1" minValue="117" maxValue="1759" count="12">
        <n v="210"/>
        <n v="355"/>
        <n v="154"/>
        <n v="488"/>
        <n v="1759"/>
        <n v="685"/>
        <n v="440"/>
        <n v="188"/>
        <n v="344"/>
        <n v="117"/>
        <n v="136"/>
        <n v="230"/>
      </sharedItems>
    </cacheField>
    <cacheField name="EOWIAAGECOUNT_CountOfSEEKER_ID" numFmtId="0">
      <sharedItems containsSemiMixedTypes="0" containsString="0" containsNumber="1" containsInteger="1" minValue="57" maxValue="558" count="12">
        <n v="181"/>
        <n v="355"/>
        <n v="130"/>
        <n v="421"/>
        <n v="558"/>
        <n v="160"/>
        <n v="369"/>
        <n v="154"/>
        <n v="148"/>
        <n v="69"/>
        <n v="57"/>
        <n v="201"/>
      </sharedItems>
    </cacheField>
    <cacheField name="EOWIADSISABILITYCOUNT_CountOfSEEKER_ID" numFmtId="0">
      <sharedItems containsSemiMixedTypes="0" containsString="0" containsNumber="1" containsInteger="1" minValue="35" maxValue="267" count="11">
        <n v="60"/>
        <n v="137"/>
        <n v="39"/>
        <n v="201"/>
        <n v="267"/>
        <n v="92"/>
        <n v="229"/>
        <n v="80"/>
        <n v="68"/>
        <n v="104"/>
        <n v="35"/>
      </sharedItems>
    </cacheField>
    <cacheField name="EDUCATIONWIACOUNT_CountOfSEEKER_ID" numFmtId="0">
      <sharedItems containsSemiMixedTypes="0" containsString="0" containsNumber="1" containsInteger="1" minValue="345" maxValue="2518" count="12">
        <n v="848"/>
        <n v="1764"/>
        <n v="684"/>
        <n v="1368"/>
        <n v="2518"/>
        <n v="897"/>
        <n v="1996"/>
        <n v="735"/>
        <n v="850"/>
        <n v="477"/>
        <n v="345"/>
        <n v="1075"/>
      </sharedItems>
    </cacheField>
    <cacheField name="HSWIACOUNT_CountOfSEEKER_ID" numFmtId="0">
      <sharedItems containsSemiMixedTypes="0" containsString="0" containsNumber="1" containsInteger="1" minValue="312" maxValue="2419" count="12">
        <n v="819"/>
        <n v="1657"/>
        <n v="650"/>
        <n v="1306"/>
        <n v="2419"/>
        <n v="834"/>
        <n v="1870"/>
        <n v="646"/>
        <n v="774"/>
        <n v="450"/>
        <n v="312"/>
        <n v="1043"/>
      </sharedItems>
    </cacheField>
    <cacheField name="COLLEGEWIACOUNT_CountOfSEEKER_ID" numFmtId="0">
      <sharedItems containsSemiMixedTypes="0" containsString="0" containsNumber="1" containsInteger="1" minValue="23" maxValue="860" count="12">
        <n v="123"/>
        <n v="134"/>
        <n v="122"/>
        <n v="348"/>
        <n v="860"/>
        <n v="102"/>
        <n v="212"/>
        <n v="51"/>
        <n v="35"/>
        <n v="32"/>
        <n v="23"/>
        <n v="187"/>
      </sharedItems>
    </cacheField>
  </cacheFields>
  <extLst>
    <ext xmlns:x14="http://schemas.microsoft.com/office/spreadsheetml/2009/9/main" uri="{725AE2AE-9491-48be-B2B4-4EB974FC3084}">
      <x14:pivotCacheDefinition/>
    </ext>
  </extLst>
</pivotCacheDefinition>
</file>

<file path=xl/pivotCache/pivotCacheDefinition15.xml><?xml version="1.0" encoding="utf-8"?>
<pivotCacheDefinition xmlns="http://schemas.openxmlformats.org/spreadsheetml/2006/main" xmlns:r="http://schemas.openxmlformats.org/officeDocument/2006/relationships" r:id="rId1" refreshedBy="swheeler" refreshedDate="40876.361497916667" createdVersion="3" refreshedVersion="3" minRefreshableVersion="3" recordCount="13">
  <cacheSource type="external" connectionId="14"/>
  <cacheFields count="4">
    <cacheField name="REGIONID" numFmtId="0">
      <sharedItems containsSemiMixedTypes="0" containsString="0" containsNumber="1" containsInteger="1" minValue="1" maxValue="13" count="13">
        <n v="1"/>
        <n v="10"/>
        <n v="11"/>
        <n v="12"/>
        <n v="13"/>
        <n v="2"/>
        <n v="3"/>
        <n v="4"/>
        <n v="5"/>
        <n v="6"/>
        <n v="7"/>
        <n v="8"/>
        <n v="9"/>
      </sharedItems>
    </cacheField>
    <cacheField name="OVER25COUNT_CountOfSEEKERID" numFmtId="0">
      <sharedItems containsSemiMixedTypes="0" containsString="0" containsNumber="1" containsInteger="1" minValue="673" maxValue="27577" count="13">
        <n v="6989"/>
        <n v="5621"/>
        <n v="5630"/>
        <n v="10544"/>
        <n v="673"/>
        <n v="12490"/>
        <n v="6492"/>
        <n v="17803"/>
        <n v="27577"/>
        <n v="13348"/>
        <n v="9860"/>
        <n v="10151"/>
        <n v="9989"/>
      </sharedItems>
    </cacheField>
    <cacheField name="HSCOUNT_CountOfSEEKERID" numFmtId="0">
      <sharedItems containsSemiMixedTypes="0" containsString="0" containsNumber="1" containsInteger="1" minValue="560" maxValue="25573" count="13">
        <n v="6500"/>
        <n v="4985"/>
        <n v="4233"/>
        <n v="9751"/>
        <n v="560"/>
        <n v="11194"/>
        <n v="5841"/>
        <n v="16589"/>
        <n v="25573"/>
        <n v="12306"/>
        <n v="8926"/>
        <n v="7348"/>
        <n v="6802"/>
      </sharedItems>
    </cacheField>
    <cacheField name="COLLEGECOUNT_CountOfSEEKERID" numFmtId="0">
      <sharedItems containsSemiMixedTypes="0" containsString="0" containsNumber="1" containsInteger="1" minValue="32" maxValue="7399" count="13">
        <n v="1054"/>
        <n v="570"/>
        <n v="549"/>
        <n v="1498"/>
        <n v="32"/>
        <n v="1283"/>
        <n v="956"/>
        <n v="3046"/>
        <n v="7399"/>
        <n v="1587"/>
        <n v="1089"/>
        <n v="673"/>
        <n v="628"/>
      </sharedItems>
    </cacheField>
  </cacheFields>
  <extLst>
    <ext xmlns:x14="http://schemas.microsoft.com/office/spreadsheetml/2009/9/main" uri="{725AE2AE-9491-48be-B2B4-4EB974FC3084}">
      <x14:pivotCacheDefinition/>
    </ext>
  </extLst>
</pivotCacheDefinition>
</file>

<file path=xl/pivotCache/pivotCacheDefinition16.xml><?xml version="1.0" encoding="utf-8"?>
<pivotCacheDefinition xmlns="http://schemas.openxmlformats.org/spreadsheetml/2006/main" xmlns:r="http://schemas.openxmlformats.org/officeDocument/2006/relationships" r:id="rId1" refreshedBy="swheeler" refreshedDate="40877.380952314816" createdVersion="3" refreshedVersion="3" minRefreshableVersion="3" recordCount="1">
  <cacheSource type="external" connectionId="26"/>
  <cacheFields count="5">
    <cacheField name="3COUNT OF JOB ORDERS AND JOB OPENINGS_SumOfJOB OPENINGS" numFmtId="0">
      <sharedItems containsSemiMixedTypes="0" containsString="0" containsNumber="1" containsInteger="1" minValue="17508" maxValue="17508" count="1">
        <n v="17508"/>
      </sharedItems>
    </cacheField>
    <cacheField name="CountOfJOB_ORDER_ID" numFmtId="0">
      <sharedItems containsSemiMixedTypes="0" containsString="0" containsNumber="1" containsInteger="1" minValue="8532" maxValue="8532" count="1">
        <n v="8532"/>
      </sharedItems>
    </cacheField>
    <cacheField name="3CountOfJobORders1YearAgo_SumOfJOB OPENINGS" numFmtId="0">
      <sharedItems containsSemiMixedTypes="0" containsString="0" containsNumber="1" containsInteger="1" minValue="24179" maxValue="24179" count="1">
        <n v="24179"/>
      </sharedItems>
    </cacheField>
    <cacheField name="3CountOfEmployersServed_CountOfEMPLOYER_ID" numFmtId="0">
      <sharedItems containsSemiMixedTypes="0" containsString="0" containsNumber="1" containsInteger="1" minValue="7186" maxValue="7186" count="1">
        <n v="7186"/>
      </sharedItems>
    </cacheField>
    <cacheField name="3CountOfEmployersServed1YearAgo_CountOfEMPLOYER_ID" numFmtId="0">
      <sharedItems containsSemiMixedTypes="0" containsString="0" containsNumber="1" containsInteger="1" minValue="8234" maxValue="8234" count="1">
        <n v="8234"/>
      </sharedItems>
    </cacheField>
  </cacheFields>
  <extLst>
    <ext xmlns:x14="http://schemas.microsoft.com/office/spreadsheetml/2009/9/main" uri="{725AE2AE-9491-48be-B2B4-4EB974FC3084}">
      <x14:pivotCacheDefinition/>
    </ext>
  </extLst>
</pivotCacheDefinition>
</file>

<file path=xl/pivotCache/pivotCacheDefinition17.xml><?xml version="1.0" encoding="utf-8"?>
<pivotCacheDefinition xmlns="http://schemas.openxmlformats.org/spreadsheetml/2006/main" xmlns:r="http://schemas.openxmlformats.org/officeDocument/2006/relationships" r:id="rId1" refreshedBy="swheeler" refreshedDate="40877.415549074074" createdVersion="3" refreshedVersion="3" minRefreshableVersion="3" recordCount="1">
  <cacheSource type="external" connectionId="27"/>
  <cacheFields count="3">
    <cacheField name="top5" numFmtId="0">
      <sharedItems containsSemiMixedTypes="0" containsString="0" containsNumber="1" containsInteger="1" minValue="5958" maxValue="5958" count="1">
        <n v="5958"/>
      </sharedItems>
    </cacheField>
    <cacheField name="CountOfPLACEMENT_ID" numFmtId="0">
      <sharedItems containsSemiMixedTypes="0" containsString="0" containsNumber="1" containsInteger="1" minValue="8050" maxValue="8050" count="1">
        <n v="8050"/>
      </sharedItems>
    </cacheField>
    <cacheField name="AvgOfMINIMUM_SALARY" numFmtId="0">
      <sharedItems containsSemiMixedTypes="0" containsString="0" containsNumber="1" containsInteger="1" minValue="9" maxValue="9" count="1">
        <n v="9"/>
      </sharedItems>
    </cacheField>
  </cacheFields>
  <extLst>
    <ext xmlns:x14="http://schemas.microsoft.com/office/spreadsheetml/2009/9/main" uri="{725AE2AE-9491-48be-B2B4-4EB974FC3084}">
      <x14:pivotCacheDefinition/>
    </ext>
  </extLst>
</pivotCacheDefinition>
</file>

<file path=xl/pivotCache/pivotCacheDefinition18.xml><?xml version="1.0" encoding="utf-8"?>
<pivotCacheDefinition xmlns="http://schemas.openxmlformats.org/spreadsheetml/2006/main" xmlns:r="http://schemas.openxmlformats.org/officeDocument/2006/relationships" r:id="rId1" refreshedBy="swheeler" refreshedDate="40877.427393171296" createdVersion="3" refreshedVersion="3" minRefreshableVersion="3" recordCount="12">
  <cacheSource type="external" connectionId="15"/>
  <cacheFields count="5">
    <cacheField name="REGIONID" numFmtId="0">
      <sharedItems containsSemiMixedTypes="0" containsString="0" containsNumber="1" containsInteger="1" minValue="1" maxValue="12" count="12">
        <n v="1"/>
        <n v="10"/>
        <n v="11"/>
        <n v="12"/>
        <n v="2"/>
        <n v="3"/>
        <n v="4"/>
        <n v="5"/>
        <n v="6"/>
        <n v="7"/>
        <n v="8"/>
        <n v="9"/>
      </sharedItems>
    </cacheField>
    <cacheField name="current" numFmtId="0">
      <sharedItems containsSemiMixedTypes="0" containsString="0" containsNumber="1" containsInteger="1" minValue="80" maxValue="2904" count="12">
        <n v="457"/>
        <n v="470"/>
        <n v="1686"/>
        <n v="80"/>
        <n v="401"/>
        <n v="246"/>
        <n v="375"/>
        <n v="152"/>
        <n v="188"/>
        <n v="313"/>
        <n v="2904"/>
        <n v="778"/>
      </sharedItems>
    </cacheField>
    <cacheField name="Lastyear" numFmtId="0">
      <sharedItems containsSemiMixedTypes="0" containsString="0" containsNumber="1" containsInteger="1" minValue="104" maxValue="2359" count="12">
        <n v="215"/>
        <n v="462"/>
        <n v="1041"/>
        <n v="160"/>
        <n v="442"/>
        <n v="371"/>
        <n v="439"/>
        <n v="256"/>
        <n v="104"/>
        <n v="646"/>
        <n v="2359"/>
        <n v="1015"/>
      </sharedItems>
    </cacheField>
    <cacheField name="Currentsalary" numFmtId="0">
      <sharedItems containsSemiMixedTypes="0" containsString="0" containsNumber="1" minValue="8.9" maxValue="12.91" count="12">
        <n v="10.92"/>
        <n v="10.08"/>
        <n v="9.25"/>
        <n v="10.71"/>
        <n v="10.44"/>
        <n v="10.59"/>
        <n v="9.36"/>
        <n v="10.94"/>
        <n v="12.05"/>
        <n v="12.91"/>
        <n v="9.07"/>
        <n v="8.9"/>
      </sharedItems>
    </cacheField>
    <cacheField name="Lastyearsalary" numFmtId="0">
      <sharedItems containsSemiMixedTypes="0" containsString="0" containsNumber="1" minValue="8.84" maxValue="12.6" count="12">
        <n v="12.3"/>
        <n v="9.76"/>
        <n v="9.11"/>
        <n v="11.07"/>
        <n v="10.08"/>
        <n v="11.66"/>
        <n v="10.32"/>
        <n v="11.34"/>
        <n v="12.6"/>
        <n v="11.24"/>
        <n v="9.41"/>
        <n v="8.84"/>
      </sharedItems>
    </cacheField>
  </cacheFields>
  <extLst>
    <ext xmlns:x14="http://schemas.microsoft.com/office/spreadsheetml/2009/9/main" uri="{725AE2AE-9491-48be-B2B4-4EB974FC3084}">
      <x14:pivotCacheDefinition/>
    </ext>
  </extLst>
</pivotCacheDefinition>
</file>

<file path=xl/pivotCache/pivotCacheDefinition19.xml><?xml version="1.0" encoding="utf-8"?>
<pivotCacheDefinition xmlns="http://schemas.openxmlformats.org/spreadsheetml/2006/main" xmlns:r="http://schemas.openxmlformats.org/officeDocument/2006/relationships" r:id="rId1" refreshedBy="swheeler" refreshedDate="40877.526645254628" createdVersion="3" refreshedVersion="3" minRefreshableVersion="3" recordCount="1">
  <cacheSource type="external" connectionId="30"/>
  <cacheFields count="3">
    <cacheField name="SumOfSumOfJobOpenings" numFmtId="0">
      <sharedItems containsSemiMixedTypes="0" containsString="0" containsNumber="1" containsInteger="1" minValue="6826" maxValue="6826" count="1">
        <n v="6826"/>
      </sharedItems>
    </cacheField>
    <cacheField name="CountOfPLACEMENT_ID" numFmtId="0">
      <sharedItems containsSemiMixedTypes="0" containsString="0" containsNumber="1" containsInteger="1" minValue="7512" maxValue="7512" count="1">
        <n v="7512"/>
      </sharedItems>
    </cacheField>
    <cacheField name="AvgOfMINIMUM_SALARY" numFmtId="0">
      <sharedItems containsSemiMixedTypes="0" containsString="0" containsNumber="1" containsInteger="1" minValue="9" maxValue="9" count="1">
        <n v="9"/>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akay" refreshedDate="40864.453310532408" createdVersion="3" refreshedVersion="3" minRefreshableVersion="3" recordCount="143">
  <cacheSource type="worksheet">
    <worksheetSource ref="A1:H144" sheet="DB Format" r:id="rId2"/>
  </cacheSource>
  <cacheFields count="8">
    <cacheField name="WDA" numFmtId="164">
      <sharedItems containsSemiMixedTypes="0" containsString="0" containsNumber="1" containsInteger="1" minValue="0" maxValue="12" count="13">
        <n v="1"/>
        <n v="2"/>
        <n v="3"/>
        <n v="4"/>
        <n v="5"/>
        <n v="6"/>
        <n v="7"/>
        <n v="8"/>
        <n v="9"/>
        <n v="10"/>
        <n v="11"/>
        <n v="12"/>
        <n v="0"/>
      </sharedItems>
    </cacheField>
    <cacheField name="CYQ" numFmtId="164">
      <sharedItems count="11">
        <s v="2009 Q1"/>
        <s v="2009 Q2"/>
        <s v="2009 Q3"/>
        <s v="2009 Q4"/>
        <s v="2010 Q1"/>
        <s v="2010 Q2"/>
        <s v="2010 Q3"/>
        <s v="2010 Q4"/>
        <s v="2011 Q1"/>
        <s v="2011 Q2"/>
        <s v="2011 Q3"/>
      </sharedItems>
    </cacheField>
    <cacheField name="PYQ" numFmtId="164">
      <sharedItems count="11">
        <s v="PY08 Q3"/>
        <s v="PY08 Q4"/>
        <s v="PY09 Q1"/>
        <s v="PY09 Q2"/>
        <s v="PY09 Q3"/>
        <s v="PY09 Q4"/>
        <s v="PY10 Q1"/>
        <s v="PY10 Q2"/>
        <s v="PY10 Q3"/>
        <s v="PY10 Q4"/>
        <s v="PY11 Q1"/>
      </sharedItems>
    </cacheField>
    <cacheField name="Labor Force" numFmtId="3">
      <sharedItems containsSemiMixedTypes="0" containsString="0" containsNumber="1" containsInteger="1" minValue="95923" maxValue="3548887"/>
    </cacheField>
    <cacheField name="Employed" numFmtId="3">
      <sharedItems containsSemiMixedTypes="0" containsString="0" containsNumber="1" containsInteger="1" minValue="87527" maxValue="3214420"/>
    </cacheField>
    <cacheField name="Unemployed" numFmtId="3">
      <sharedItems containsSemiMixedTypes="0" containsString="0" containsNumber="1" containsInteger="1" minValue="7820" maxValue="380777"/>
    </cacheField>
    <cacheField name="UR" numFmtId="0">
      <sharedItems containsSemiMixedTypes="0" containsString="0" containsNumber="1" minValue="8.6877065390972286E-2" maxValue="15.3"/>
    </cacheField>
    <cacheField name="Calc UR" numFmtId="10">
      <sharedItems containsSemiMixedTypes="0" containsString="0" containsNumber="1" minValue="6.6999271825411127E-2" maxValue="0.15259523279126755"/>
    </cacheField>
  </cacheFields>
  <extLst>
    <ext xmlns:x14="http://schemas.microsoft.com/office/spreadsheetml/2009/9/main" uri="{725AE2AE-9491-48be-B2B4-4EB974FC3084}">
      <x14:pivotCacheDefinition/>
    </ext>
  </extLst>
</pivotCacheDefinition>
</file>

<file path=xl/pivotCache/pivotCacheDefinition20.xml><?xml version="1.0" encoding="utf-8"?>
<pivotCacheDefinition xmlns="http://schemas.openxmlformats.org/spreadsheetml/2006/main" xmlns:r="http://schemas.openxmlformats.org/officeDocument/2006/relationships" r:id="rId1" refreshedBy="swheeler" refreshedDate="40889.548765046296" createdVersion="3" refreshedVersion="3" minRefreshableVersion="3" recordCount="1">
  <cacheSource type="external" connectionId="23"/>
  <cacheFields count="8">
    <cacheField name="1COUNT ALL_CountOfSOCIALSECURITYNUMBER" numFmtId="0">
      <sharedItems containsSemiMixedTypes="0" containsString="0" containsNumber="1" containsInteger="1" minValue="183307" maxValue="183307" count="1">
        <n v="183307"/>
      </sharedItems>
    </cacheField>
    <cacheField name="1Count of Self-Service ONLY_CountOfSOCIALSECURITYNUMBER" numFmtId="0">
      <sharedItems containsSemiMixedTypes="0" containsString="0" containsNumber="1" containsInteger="1" minValue="64014" maxValue="64014" count="1">
        <n v="64014"/>
      </sharedItems>
    </cacheField>
    <cacheField name="1CountOfStaffAssistedCustomers_CountOfSEEKERID" numFmtId="0">
      <sharedItems containsSemiMixedTypes="0" containsString="0" containsNumber="1" containsInteger="1" minValue="116671" maxValue="116671" count="1">
        <n v="116671"/>
      </sharedItems>
    </cacheField>
    <cacheField name="1CountOfCoreOnly_CountOfSEEKERID" numFmtId="0">
      <sharedItems containsSemiMixedTypes="0" containsString="0" containsNumber="1" containsInteger="1" minValue="102821" maxValue="102821" count="1">
        <n v="102821"/>
      </sharedItems>
    </cacheField>
    <cacheField name="1CountOfCoreIntensiveOnly_CountOfSEEKERID" numFmtId="0">
      <sharedItems containsSemiMixedTypes="0" containsString="0" containsNumber="1" containsInteger="1" minValue="10921" maxValue="10921" count="1">
        <n v="10921"/>
      </sharedItems>
    </cacheField>
    <cacheField name="1CountTrainingNew_CountOfSEEKERID" numFmtId="0">
      <sharedItems containsSemiMixedTypes="0" containsString="0" containsNumber="1" containsInteger="1" minValue="2932" maxValue="2932" count="1">
        <n v="2932"/>
      </sharedItems>
    </cacheField>
    <cacheField name="1CountTrainingOngoing_CountOfSEEKER_ID" numFmtId="0">
      <sharedItems containsSemiMixedTypes="0" containsString="0" containsNumber="1" containsInteger="1" minValue="8120" maxValue="8120" count="1">
        <n v="8120"/>
      </sharedItems>
    </cacheField>
    <cacheField name="1CountTrainingCompletion_CountOfSEEKER_ID" numFmtId="0">
      <sharedItems containsSemiMixedTypes="0" containsString="0" containsNumber="1" containsInteger="1" minValue="2471" maxValue="2471" count="1">
        <n v="2471"/>
      </sharedItems>
    </cacheField>
  </cacheFields>
  <extLst>
    <ext xmlns:x14="http://schemas.microsoft.com/office/spreadsheetml/2009/9/main" uri="{725AE2AE-9491-48be-B2B4-4EB974FC3084}">
      <x14:pivotCacheDefinition/>
    </ext>
  </extLst>
</pivotCacheDefinition>
</file>

<file path=xl/pivotCache/pivotCacheDefinition21.xml><?xml version="1.0" encoding="utf-8"?>
<pivotCacheDefinition xmlns="http://schemas.openxmlformats.org/spreadsheetml/2006/main" xmlns:r="http://schemas.openxmlformats.org/officeDocument/2006/relationships" r:id="rId1" refreshedBy="swheeler" refreshedDate="40889.564207175928" createdVersion="3" refreshedVersion="3" minRefreshableVersion="3" recordCount="12">
  <cacheSource type="external" connectionId="18"/>
  <cacheFields count="9">
    <cacheField name="REGION_ID" numFmtId="0">
      <sharedItems containsSemiMixedTypes="0" containsString="0" containsNumber="1" containsInteger="1" minValue="1" maxValue="13" count="13">
        <n v="1"/>
        <n v="10"/>
        <n v="11"/>
        <n v="12"/>
        <n v="2"/>
        <n v="3"/>
        <n v="4"/>
        <n v="5"/>
        <n v="6"/>
        <n v="7"/>
        <n v="8"/>
        <n v="9"/>
        <n v="13" u="1"/>
      </sharedItems>
    </cacheField>
    <cacheField name="all" numFmtId="0">
      <sharedItems containsSemiMixedTypes="0" containsString="0" containsNumber="1" containsInteger="1" minValue="6844" maxValue="39837" count="12">
        <n v="9417"/>
        <n v="6844"/>
        <n v="9880"/>
        <n v="12911"/>
        <n v="15230"/>
        <n v="10918"/>
        <n v="18726"/>
        <n v="39837"/>
        <n v="20195"/>
        <n v="14556"/>
        <n v="14955"/>
        <n v="12540"/>
      </sharedItems>
    </cacheField>
    <cacheField name="self" numFmtId="0">
      <sharedItems containsSemiMixedTypes="0" containsString="0" containsNumber="1" containsInteger="1" minValue="1595" maxValue="14862" count="12">
        <n v="3667"/>
        <n v="1595"/>
        <n v="3152"/>
        <n v="5881"/>
        <n v="5816"/>
        <n v="5854"/>
        <n v="5503"/>
        <n v="14862"/>
        <n v="9215"/>
        <n v="6473"/>
        <n v="2649"/>
        <n v="2898"/>
      </sharedItems>
    </cacheField>
    <cacheField name="staffassist" numFmtId="0">
      <sharedItems containsSemiMixedTypes="0" containsString="0" containsNumber="1" containsInteger="1" minValue="5053" maxValue="24946" count="12">
        <n v="5745"/>
        <n v="5246"/>
        <n v="6726"/>
        <n v="6951"/>
        <n v="9394"/>
        <n v="5053"/>
        <n v="13193"/>
        <n v="24946"/>
        <n v="10955"/>
        <n v="8065"/>
        <n v="12259"/>
        <n v="9623"/>
      </sharedItems>
    </cacheField>
    <cacheField name="core" numFmtId="0">
      <sharedItems containsSemiMixedTypes="0" containsString="0" containsNumber="1" containsInteger="1" minValue="4034" maxValue="22457" count="12">
        <n v="4885"/>
        <n v="4034"/>
        <n v="6491"/>
        <n v="5719"/>
        <n v="7993"/>
        <n v="4611"/>
        <n v="11610"/>
        <n v="22457"/>
        <n v="9410"/>
        <n v="6733"/>
        <n v="11589"/>
        <n v="8741"/>
      </sharedItems>
    </cacheField>
    <cacheField name="coreint" numFmtId="0">
      <sharedItems containsSemiMixedTypes="0" containsString="0" containsNumber="1" containsInteger="1" minValue="217" maxValue="1873" count="12">
        <n v="744"/>
        <n v="990"/>
        <n v="217"/>
        <n v="1031"/>
        <n v="995"/>
        <n v="322"/>
        <n v="1239"/>
        <n v="1873"/>
        <n v="1387"/>
        <n v="1036"/>
        <n v="535"/>
        <n v="626"/>
      </sharedItems>
    </cacheField>
    <cacheField name="newtraining" numFmtId="0">
      <sharedItems containsSemiMixedTypes="0" containsString="0" containsNumber="1" containsInteger="1" minValue="21" maxValue="594" count="12">
        <n v="113"/>
        <n v="172"/>
        <n v="21"/>
        <n v="194"/>
        <n v="323"/>
        <n v="141"/>
        <n v="546"/>
        <n v="594"/>
        <n v="180"/>
        <n v="247"/>
        <n v="114"/>
        <n v="205"/>
      </sharedItems>
    </cacheField>
    <cacheField name="ongoing" numFmtId="0">
      <sharedItems containsSemiMixedTypes="0" containsString="0" containsNumber="1" containsInteger="1" minValue="109" maxValue="1703" count="11">
        <n v="377"/>
        <n v="643"/>
        <n v="109"/>
        <n v="529"/>
        <n v="1010"/>
        <n v="412"/>
        <n v="766"/>
        <n v="1703"/>
        <n v="528"/>
        <n v="861"/>
        <n v="354"/>
      </sharedItems>
    </cacheField>
    <cacheField name="complete" numFmtId="0">
      <sharedItems containsSemiMixedTypes="0" containsString="0" containsNumber="1" containsInteger="1" minValue="35" maxValue="601" count="12">
        <n v="95"/>
        <n v="133"/>
        <n v="35"/>
        <n v="202"/>
        <n v="140"/>
        <n v="110"/>
        <n v="146"/>
        <n v="601"/>
        <n v="122"/>
        <n v="286"/>
        <n v="112"/>
        <n v="184"/>
      </sharedItems>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r:id="rId1" refreshedBy="swheeler" refreshedDate="40876.361489236115" createdVersion="3" refreshedVersion="3" minRefreshableVersion="3" recordCount="1">
  <cacheSource type="external" connectionId="24"/>
  <cacheFields count="6">
    <cacheField name="MgtInd #1 count state_CountOfSEEKERID" numFmtId="0">
      <sharedItems containsSemiMixedTypes="0" containsString="0" containsNumber="1" containsInteger="1" minValue="116671" maxValue="116671" count="1">
        <n v="116671"/>
      </sharedItems>
    </cacheField>
    <cacheField name="MgtInd #2 count state_CountOfSEEKERID" numFmtId="0">
      <sharedItems containsSemiMixedTypes="0" containsString="0" containsNumber="1" containsInteger="1" minValue="52155" maxValue="52155" count="1">
        <n v="52155"/>
      </sharedItems>
    </cacheField>
    <cacheField name="MgtInd #3 count state_CountOfSEEKERID" numFmtId="0">
      <sharedItems containsSemiMixedTypes="0" containsString="0" containsNumber="1" containsInteger="1" minValue="6773" maxValue="6773" count="1">
        <n v="6773"/>
      </sharedItems>
    </cacheField>
    <cacheField name="MgtInd #5 count state_CountOfSEEKERID" numFmtId="0">
      <sharedItems containsSemiMixedTypes="0" containsString="0" containsNumber="1" containsInteger="1" minValue="88019" maxValue="88019" count="1">
        <n v="88019"/>
      </sharedItems>
    </cacheField>
    <cacheField name="MgtInd #6 count state_CountOfSEEKERID" numFmtId="0">
      <sharedItems containsSemiMixedTypes="0" containsString="0" containsNumber="1" containsInteger="1" minValue="4302" maxValue="4302" count="1">
        <n v="4302"/>
      </sharedItems>
    </cacheField>
    <cacheField name="CountOfSEEKER_ID" numFmtId="0">
      <sharedItems containsSemiMixedTypes="0" containsString="0" containsNumber="1" containsInteger="1" minValue="7257" maxValue="7257" count="1">
        <n v="7257"/>
      </sharedItems>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r:id="rId1" refreshedBy="swheeler" refreshedDate="40876.361489930554" createdVersion="3" refreshedVersion="3" minRefreshableVersion="3" recordCount="1">
  <cacheSource type="external" connectionId="25"/>
  <cacheFields count="8">
    <cacheField name="currentprogram" numFmtId="0">
      <sharedItems containsSemiMixedTypes="0" containsString="0" containsNumber="1" containsInteger="1" minValue="19141" maxValue="19141" count="1">
        <n v="19141"/>
      </sharedItems>
    </cacheField>
    <cacheField name="program1yearago" numFmtId="0">
      <sharedItems containsSemiMixedTypes="0" containsString="0" containsNumber="1" containsInteger="1" minValue="21898" maxValue="21898" count="1">
        <n v="21898"/>
      </sharedItems>
    </cacheField>
    <cacheField name="wiacurrent" numFmtId="0">
      <sharedItems containsSemiMixedTypes="0" containsString="0" containsNumber="1" containsInteger="1" minValue="9854" maxValue="9854" count="1">
        <n v="9854"/>
      </sharedItems>
    </cacheField>
    <cacheField name="wia1yearago" numFmtId="0">
      <sharedItems containsSemiMixedTypes="0" containsString="0" containsNumber="1" containsInteger="1" minValue="12379" maxValue="12379" count="1">
        <n v="12379"/>
      </sharedItems>
    </cacheField>
    <cacheField name="wianewcurrent" numFmtId="0">
      <sharedItems containsSemiMixedTypes="0" containsString="0" containsNumber="1" containsInteger="1" minValue="1459" maxValue="1459" count="1">
        <n v="1459"/>
      </sharedItems>
    </cacheField>
    <cacheField name="wianew1yearago" numFmtId="0">
      <sharedItems containsSemiMixedTypes="0" containsString="0" containsNumber="1" containsInteger="1" minValue="1950" maxValue="1950" count="1">
        <n v="1950"/>
      </sharedItems>
    </cacheField>
    <cacheField name="wiaexitcurrent" numFmtId="0">
      <sharedItems containsSemiMixedTypes="0" containsString="0" containsNumber="1" containsInteger="1" minValue="1846" maxValue="1846" count="1">
        <n v="1846"/>
      </sharedItems>
    </cacheField>
    <cacheField name="wiaexit1yearago" numFmtId="0">
      <sharedItems containsSemiMixedTypes="0" containsString="0" containsNumber="1" containsInteger="1" minValue="2653" maxValue="2653" count="1">
        <n v="2653"/>
      </sharedItems>
    </cacheField>
  </cacheFields>
  <extLst>
    <ext xmlns:x14="http://schemas.microsoft.com/office/spreadsheetml/2009/9/main" uri="{725AE2AE-9491-48be-B2B4-4EB974FC3084}">
      <x14:pivotCacheDefinition/>
    </ext>
  </extLst>
</pivotCacheDefinition>
</file>

<file path=xl/pivotCache/pivotCacheDefinition5.xml><?xml version="1.0" encoding="utf-8"?>
<pivotCacheDefinition xmlns="http://schemas.openxmlformats.org/spreadsheetml/2006/main" xmlns:r="http://schemas.openxmlformats.org/officeDocument/2006/relationships" r:id="rId1" refreshedBy="swheeler" refreshedDate="40876.361492129632" createdVersion="3" refreshedVersion="3" minRefreshableVersion="3" recordCount="1">
  <cacheSource type="external" connectionId="28"/>
  <cacheFields count="5">
    <cacheField name="CountOfSEEKERID" numFmtId="0">
      <sharedItems containsSemiMixedTypes="0" containsString="0" containsNumber="1" containsInteger="1" minValue="75706" maxValue="75706" count="1">
        <n v="75706"/>
      </sharedItems>
    </cacheField>
    <cacheField name="CountOfSERVICEDATE" numFmtId="0">
      <sharedItems containsSemiMixedTypes="0" containsString="0" containsNumber="1" containsInteger="1" minValue="262095" maxValue="262095" count="1">
        <n v="262095"/>
      </sharedItems>
    </cacheField>
    <cacheField name="OldWages" numFmtId="0">
      <sharedItems containsSemiMixedTypes="0" containsString="0" containsNumber="1" minValue="33514.11" maxValue="33514.11" count="1">
        <n v="33514.11"/>
      </sharedItems>
    </cacheField>
    <cacheField name="NewWages" numFmtId="0">
      <sharedItems containsSemiMixedTypes="0" containsString="0" containsNumber="1" minValue="28809.88" maxValue="28809.88" count="1">
        <n v="28809.88"/>
      </sharedItems>
    </cacheField>
    <cacheField name="AvgOfDuration" numFmtId="0">
      <sharedItems containsSemiMixedTypes="0" containsString="0" containsNumber="1" minValue="8.3743836581357129" maxValue="8.3743836581357129" count="1">
        <n v="8.3743836581357129"/>
      </sharedItems>
    </cacheField>
  </cacheFields>
  <extLst>
    <ext xmlns:x14="http://schemas.microsoft.com/office/spreadsheetml/2009/9/main" uri="{725AE2AE-9491-48be-B2B4-4EB974FC3084}">
      <x14:pivotCacheDefinition/>
    </ext>
  </extLst>
</pivotCacheDefinition>
</file>

<file path=xl/pivotCache/pivotCacheDefinition6.xml><?xml version="1.0" encoding="utf-8"?>
<pivotCacheDefinition xmlns="http://schemas.openxmlformats.org/spreadsheetml/2006/main" xmlns:r="http://schemas.openxmlformats.org/officeDocument/2006/relationships" r:id="rId1" refreshedBy="swheeler" refreshedDate="40876.361492824071" createdVersion="3" refreshedVersion="3" minRefreshableVersion="3" recordCount="1">
  <cacheSource type="external" connectionId="29"/>
  <cacheFields count="16">
    <cacheField name="EOCountofSeekersServed_CountOfSEEKERID" numFmtId="0">
      <sharedItems containsSemiMixedTypes="0" containsString="0" containsNumber="1" containsInteger="1" minValue="370367" maxValue="370367" count="1">
        <n v="370367"/>
      </sharedItems>
    </cacheField>
    <cacheField name="EOGenderCount_CountOfSEEKERID" numFmtId="0">
      <sharedItems containsSemiMixedTypes="0" containsString="0" containsNumber="1" containsInteger="1" minValue="159177" maxValue="159177" count="1">
        <n v="159177"/>
      </sharedItems>
    </cacheField>
    <cacheField name="EORaceCount_CountOfSEEKERID" numFmtId="0">
      <sharedItems containsSemiMixedTypes="0" containsString="0" containsNumber="1" containsInteger="1" minValue="112854" maxValue="112854" count="1">
        <n v="112854"/>
      </sharedItems>
    </cacheField>
    <cacheField name="EOAgeCount_CountOfSEEKERID" numFmtId="0">
      <sharedItems containsSemiMixedTypes="0" containsString="0" containsNumber="1" containsInteger="1" minValue="58517" maxValue="58517" count="1">
        <n v="58517"/>
      </sharedItems>
    </cacheField>
    <cacheField name="EODisabilityCount_CountOfSEEKERID" numFmtId="0">
      <sharedItems containsSemiMixedTypes="0" containsString="0" containsNumber="1" containsInteger="1" minValue="15711" maxValue="15711" count="1">
        <n v="15711"/>
      </sharedItems>
    </cacheField>
    <cacheField name="WIA" numFmtId="0">
      <sharedItems containsSemiMixedTypes="0" containsString="0" containsNumber="1" containsInteger="1" minValue="19036" maxValue="19036" count="1">
        <n v="19036"/>
      </sharedItems>
    </cacheField>
    <cacheField name="wiagender" numFmtId="0">
      <sharedItems containsSemiMixedTypes="0" containsString="0" containsNumber="1" containsInteger="1" minValue="9660" maxValue="9660" count="1">
        <n v="9660"/>
      </sharedItems>
    </cacheField>
    <cacheField name="wiarace" numFmtId="0">
      <sharedItems containsSemiMixedTypes="0" containsString="0" containsNumber="1" containsInteger="1" minValue="5099" maxValue="5099" count="1">
        <n v="5099"/>
      </sharedItems>
    </cacheField>
    <cacheField name="wiaage" numFmtId="0">
      <sharedItems containsSemiMixedTypes="0" containsString="0" containsNumber="1" containsInteger="1" minValue="2813" maxValue="2813" count="1">
        <n v="2813"/>
      </sharedItems>
    </cacheField>
    <cacheField name="wiadisability" numFmtId="0">
      <sharedItems containsSemiMixedTypes="0" containsString="0" containsNumber="1" containsInteger="1" minValue="1414" maxValue="1414" count="1">
        <n v="1414"/>
      </sharedItems>
    </cacheField>
    <cacheField name="Over25Count_CountOfSEEKERID" numFmtId="0">
      <sharedItems containsSemiMixedTypes="0" containsString="0" containsNumber="1" containsInteger="1" minValue="320899" maxValue="320899" count="1">
        <n v="320899"/>
      </sharedItems>
    </cacheField>
    <cacheField name="HSCount_CountOfSEEKERID" numFmtId="0">
      <sharedItems containsSemiMixedTypes="0" containsString="0" containsNumber="1" containsInteger="1" minValue="278341" maxValue="278341" count="1">
        <n v="278341"/>
      </sharedItems>
    </cacheField>
    <cacheField name="CollegeCount_CountOfSEEKERID" numFmtId="0">
      <sharedItems containsSemiMixedTypes="0" containsString="0" containsNumber="1" containsInteger="1" minValue="113661" maxValue="113661" count="1">
        <n v="113661"/>
      </sharedItems>
    </cacheField>
    <cacheField name="EOWIA&gt;25Count_CountOfSEEKER_ID" numFmtId="0">
      <sharedItems containsSemiMixedTypes="0" containsString="0" containsNumber="1" containsInteger="1" minValue="13237" maxValue="13237" count="1">
        <n v="13237"/>
      </sharedItems>
    </cacheField>
    <cacheField name="EOWIAHSCount_CountOfSEEKER_ID" numFmtId="0">
      <sharedItems containsSemiMixedTypes="0" containsString="0" containsNumber="1" containsInteger="1" minValue="12503" maxValue="12503" count="1">
        <n v="12503"/>
      </sharedItems>
    </cacheField>
    <cacheField name="EOWIACollegeCount_CountOfSEEKER_ID" numFmtId="0">
      <sharedItems containsSemiMixedTypes="0" containsString="0" containsNumber="1" containsInteger="1" minValue="2207" maxValue="2207" count="1">
        <n v="2207"/>
      </sharedItems>
    </cacheField>
  </cacheFields>
  <extLst>
    <ext xmlns:x14="http://schemas.microsoft.com/office/spreadsheetml/2009/9/main" uri="{725AE2AE-9491-48be-B2B4-4EB974FC3084}">
      <x14:pivotCacheDefinition/>
    </ext>
  </extLst>
</pivotCacheDefinition>
</file>

<file path=xl/pivotCache/pivotCacheDefinition7.xml><?xml version="1.0" encoding="utf-8"?>
<pivotCacheDefinition xmlns="http://schemas.openxmlformats.org/spreadsheetml/2006/main" xmlns:r="http://schemas.openxmlformats.org/officeDocument/2006/relationships" r:id="rId1" refreshedBy="swheeler" refreshedDate="40876.361494328703" createdVersion="3" refreshedVersion="3" minRefreshableVersion="3" recordCount="12">
  <cacheSource type="external" connectionId="19"/>
  <cacheFields count="5">
    <cacheField name="REGIONID" numFmtId="0">
      <sharedItems containsSemiMixedTypes="0" containsString="0" containsNumber="1" containsInteger="1" minValue="1" maxValue="12" count="12">
        <n v="1"/>
        <n v="10"/>
        <n v="11"/>
        <n v="12"/>
        <n v="2"/>
        <n v="3"/>
        <n v="4"/>
        <n v="5"/>
        <n v="6"/>
        <n v="7"/>
        <n v="8"/>
        <n v="9"/>
      </sharedItems>
    </cacheField>
    <cacheField name="Assessments" numFmtId="0">
      <sharedItems containsSemiMixedTypes="0" containsString="0" containsNumber="1" containsInteger="1" minValue="2434" maxValue="7408" count="12">
        <n v="2678"/>
        <n v="2434"/>
        <n v="3006"/>
        <n v="3759"/>
        <n v="4381"/>
        <n v="3167"/>
        <n v="4358"/>
        <n v="7408"/>
        <n v="6319"/>
        <n v="4617"/>
        <n v="4653"/>
        <n v="5436"/>
      </sharedItems>
    </cacheField>
    <cacheField name="SkillDevelopment" numFmtId="0">
      <sharedItems containsSemiMixedTypes="0" containsString="0" containsNumber="1" containsInteger="1" minValue="163" maxValue="1782" count="12">
        <n v="471"/>
        <n v="401"/>
        <n v="255"/>
        <n v="533"/>
        <n v="586"/>
        <n v="312"/>
        <n v="844"/>
        <n v="1782"/>
        <n v="594"/>
        <n v="482"/>
        <n v="163"/>
        <n v="360"/>
      </sharedItems>
    </cacheField>
    <cacheField name="JobSearch" numFmtId="0">
      <sharedItems containsSemiMixedTypes="0" containsString="0" containsNumber="1" containsInteger="1" minValue="4152" maxValue="14902" count="12">
        <n v="4548"/>
        <n v="4703"/>
        <n v="5356"/>
        <n v="5746"/>
        <n v="7278"/>
        <n v="4152"/>
        <n v="9112"/>
        <n v="14902"/>
        <n v="7870"/>
        <n v="6328"/>
        <n v="10895"/>
        <n v="7984"/>
      </sharedItems>
    </cacheField>
    <cacheField name="CommunityReferral" numFmtId="0">
      <sharedItems containsSemiMixedTypes="0" containsString="0" containsNumber="1" containsInteger="1" minValue="36" maxValue="1069" count="12">
        <n v="57"/>
        <n v="419"/>
        <n v="370"/>
        <n v="36"/>
        <n v="233"/>
        <n v="157"/>
        <n v="517"/>
        <n v="701"/>
        <n v="177"/>
        <n v="126"/>
        <n v="443"/>
        <n v="1069"/>
      </sharedItems>
    </cacheField>
  </cacheFields>
  <extLst>
    <ext xmlns:x14="http://schemas.microsoft.com/office/spreadsheetml/2009/9/main" uri="{725AE2AE-9491-48be-B2B4-4EB974FC3084}">
      <x14:pivotCacheDefinition/>
    </ext>
  </extLst>
</pivotCacheDefinition>
</file>

<file path=xl/pivotCache/pivotCacheDefinition8.xml><?xml version="1.0" encoding="utf-8"?>
<pivotCacheDefinition xmlns="http://schemas.openxmlformats.org/spreadsheetml/2006/main" xmlns:r="http://schemas.openxmlformats.org/officeDocument/2006/relationships" r:id="rId1" refreshedBy="swheeler" refreshedDate="40876.361494444442" createdVersion="3" refreshedVersion="3" minRefreshableVersion="3" recordCount="12">
  <cacheSource type="external" connectionId="20"/>
  <cacheFields count="9">
    <cacheField name="REGIONID" numFmtId="0">
      <sharedItems containsSemiMixedTypes="0" containsString="0" containsNumber="1" containsInteger="1" minValue="1" maxValue="12" count="12">
        <n v="1"/>
        <n v="10"/>
        <n v="11"/>
        <n v="12"/>
        <n v="2"/>
        <n v="3"/>
        <n v="4"/>
        <n v="5"/>
        <n v="6"/>
        <n v="7"/>
        <n v="8"/>
        <n v="9"/>
      </sharedItems>
    </cacheField>
    <cacheField name="currentprogram" numFmtId="0">
      <sharedItems containsSemiMixedTypes="0" containsString="0" containsNumber="1" containsInteger="1" minValue="362" maxValue="4684" count="12">
        <n v="676"/>
        <n v="4684"/>
        <n v="362"/>
        <n v="1204"/>
        <n v="2039"/>
        <n v="715"/>
        <n v="1719"/>
        <n v="2988"/>
        <n v="1692"/>
        <n v="1608"/>
        <n v="667"/>
        <n v="828"/>
      </sharedItems>
    </cacheField>
    <cacheField name="program1yearago" numFmtId="0">
      <sharedItems containsSemiMixedTypes="0" containsString="0" containsNumber="1" containsInteger="1" minValue="449" maxValue="5799" count="12">
        <n v="999"/>
        <n v="5799"/>
        <n v="449"/>
        <n v="1646"/>
        <n v="1892"/>
        <n v="1051"/>
        <n v="1787"/>
        <n v="3721"/>
        <n v="2321"/>
        <n v="2276"/>
        <n v="1034"/>
        <n v="903"/>
      </sharedItems>
    </cacheField>
    <cacheField name="wiacurrent" numFmtId="0">
      <sharedItems containsSemiMixedTypes="0" containsString="0" containsNumber="1" containsInteger="1" minValue="264" maxValue="2029" count="12">
        <n v="431"/>
        <n v="447"/>
        <n v="264"/>
        <n v="831"/>
        <n v="1268"/>
        <n v="498"/>
        <n v="1339"/>
        <n v="2029"/>
        <n v="714"/>
        <n v="932"/>
        <n v="510"/>
        <n v="590"/>
      </sharedItems>
    </cacheField>
    <cacheField name="wia1yearago" numFmtId="0">
      <sharedItems containsSemiMixedTypes="0" containsString="0" containsNumber="1" containsInteger="1" minValue="280" maxValue="2421" count="12">
        <n v="627"/>
        <n v="546"/>
        <n v="280"/>
        <n v="936"/>
        <n v="1685"/>
        <n v="674"/>
        <n v="1433"/>
        <n v="2421"/>
        <n v="952"/>
        <n v="1365"/>
        <n v="719"/>
        <n v="746"/>
      </sharedItems>
    </cacheField>
    <cacheField name="wianewcurrent" numFmtId="0">
      <sharedItems containsSemiMixedTypes="0" containsString="0" containsNumber="1" containsInteger="1" minValue="36" maxValue="422" count="12">
        <n v="103"/>
        <n v="97"/>
        <n v="36"/>
        <n v="150"/>
        <n v="51"/>
        <n v="77"/>
        <n v="126"/>
        <n v="422"/>
        <n v="68"/>
        <n v="179"/>
        <n v="83"/>
        <n v="66"/>
      </sharedItems>
    </cacheField>
    <cacheField name="wianew1yearago" numFmtId="0">
      <sharedItems containsSemiMixedTypes="0" containsString="0" containsNumber="1" containsInteger="1" minValue="65" maxValue="400" count="12">
        <n v="131"/>
        <n v="100"/>
        <n v="97"/>
        <n v="171"/>
        <n v="115"/>
        <n v="86"/>
        <n v="344"/>
        <n v="400"/>
        <n v="125"/>
        <n v="229"/>
        <n v="88"/>
        <n v="65"/>
      </sharedItems>
    </cacheField>
    <cacheField name="wiaexitcurrent" numFmtId="0">
      <sharedItems containsSemiMixedTypes="0" containsString="0" containsNumber="1" containsInteger="1" minValue="52" maxValue="338" count="12">
        <n v="96"/>
        <n v="133"/>
        <n v="52"/>
        <n v="181"/>
        <n v="242"/>
        <n v="121"/>
        <n v="155"/>
        <n v="338"/>
        <n v="59"/>
        <n v="299"/>
        <n v="80"/>
        <n v="89"/>
      </sharedItems>
    </cacheField>
    <cacheField name="wiaexit1yearago" numFmtId="0">
      <sharedItems containsSemiMixedTypes="0" containsString="0" containsNumber="1" containsInteger="1" minValue="33" maxValue="625" count="12">
        <n v="140"/>
        <n v="134"/>
        <n v="33"/>
        <n v="227"/>
        <n v="294"/>
        <n v="160"/>
        <n v="181"/>
        <n v="625"/>
        <n v="183"/>
        <n v="419"/>
        <n v="175"/>
        <n v="83"/>
      </sharedItems>
    </cacheField>
  </cacheFields>
  <extLst>
    <ext xmlns:x14="http://schemas.microsoft.com/office/spreadsheetml/2009/9/main" uri="{725AE2AE-9491-48be-B2B4-4EB974FC3084}">
      <x14:pivotCacheDefinition/>
    </ext>
  </extLst>
</pivotCacheDefinition>
</file>

<file path=xl/pivotCache/pivotCacheDefinition9.xml><?xml version="1.0" encoding="utf-8"?>
<pivotCacheDefinition xmlns="http://schemas.openxmlformats.org/spreadsheetml/2006/main" xmlns:r="http://schemas.openxmlformats.org/officeDocument/2006/relationships" r:id="rId1" refreshedBy="swheeler" refreshedDate="40876.361494675926" createdVersion="3" refreshedVersion="3" minRefreshableVersion="3" recordCount="13">
  <cacheSource type="external" connectionId="21"/>
  <cacheFields count="7">
    <cacheField name="REGIONID" numFmtId="0">
      <sharedItems containsSemiMixedTypes="0" containsString="0" containsNumber="1" containsInteger="1" minValue="1" maxValue="13" count="13">
        <n v="1"/>
        <n v="10"/>
        <n v="11"/>
        <n v="12"/>
        <n v="13"/>
        <n v="2"/>
        <n v="3"/>
        <n v="4"/>
        <n v="5"/>
        <n v="6"/>
        <n v="7"/>
        <n v="8"/>
        <n v="9"/>
      </sharedItems>
    </cacheField>
    <cacheField name="3COUNT OF JOB ORDERS AND JOB OPENINGS_CountOfJOB_ORDER_ID" numFmtId="0">
      <sharedItems containsSemiMixedTypes="0" containsString="0" containsNumber="1" containsInteger="1" minValue="9" maxValue="901" count="13">
        <n v="412"/>
        <n v="400"/>
        <n v="383"/>
        <n v="424"/>
        <n v="9"/>
        <n v="525"/>
        <n v="269"/>
        <n v="699"/>
        <n v="505"/>
        <n v="290"/>
        <n v="669"/>
        <n v="901"/>
        <n v="486"/>
      </sharedItems>
    </cacheField>
    <cacheField name="3COUNT OF JOB ORDERS AND JOB OPENINGS_SumOfJOB OPENINGS" numFmtId="0">
      <sharedItems containsSemiMixedTypes="0" containsString="0" containsNumber="1" containsInteger="1" minValue="327" maxValue="4722" count="13">
        <n v="764"/>
        <n v="671"/>
        <n v="1732"/>
        <n v="493"/>
        <n v="327"/>
        <n v="1051"/>
        <n v="448"/>
        <n v="1395"/>
        <n v="945"/>
        <n v="699"/>
        <n v="758"/>
        <n v="4722"/>
        <n v="3065"/>
      </sharedItems>
    </cacheField>
    <cacheField name="3CountOfJobORders1YearAgo_CountOfJOB_ORDER_ID" numFmtId="0">
      <sharedItems containsSemiMixedTypes="0" containsString="0" containsNumber="1" containsInteger="1" minValue="9" maxValue="1134" count="12">
        <n v="681"/>
        <n v="526"/>
        <n v="682"/>
        <n v="543"/>
        <n v="9"/>
        <n v="639"/>
        <n v="293"/>
        <n v="902"/>
        <n v="1134"/>
        <n v="405"/>
        <n v="1070"/>
        <n v="746"/>
      </sharedItems>
    </cacheField>
    <cacheField name="3CountOfJobORders1YearAgo_SumOfJOB OPENINGS" numFmtId="0">
      <sharedItems containsSemiMixedTypes="0" containsString="0" containsNumber="1" containsInteger="1" minValue="296" maxValue="6144" count="13">
        <n v="797"/>
        <n v="861"/>
        <n v="2026"/>
        <n v="691"/>
        <n v="296"/>
        <n v="1137"/>
        <n v="484"/>
        <n v="1470"/>
        <n v="1899"/>
        <n v="6144"/>
        <n v="1309"/>
        <n v="4251"/>
        <n v="2814"/>
      </sharedItems>
    </cacheField>
    <cacheField name="3CountOfEmployersServed_CountOfEMPLOYER_ID" numFmtId="0">
      <sharedItems containsSemiMixedTypes="0" containsString="0" containsNumber="1" containsInteger="1" minValue="5" maxValue="1369" count="13">
        <n v="570"/>
        <n v="828"/>
        <n v="736"/>
        <n v="526"/>
        <n v="5"/>
        <n v="1226"/>
        <n v="825"/>
        <n v="1170"/>
        <n v="1369"/>
        <n v="1084"/>
        <n v="616"/>
        <n v="1052"/>
        <n v="751"/>
      </sharedItems>
    </cacheField>
    <cacheField name="3CountOfEmployersServed1YearAgo_CountOfEMPLOYER_ID" numFmtId="0">
      <sharedItems containsSemiMixedTypes="0" containsString="0" containsNumber="1" containsInteger="1" minValue="9" maxValue="1681" count="12">
        <n v="720"/>
        <n v="1022"/>
        <n v="726"/>
        <n v="849"/>
        <n v="9"/>
        <n v="1585"/>
        <n v="945"/>
        <n v="1681"/>
        <n v="1673"/>
        <n v="1537"/>
        <n v="852"/>
        <n v="943"/>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741">
  <r>
    <n v="1"/>
    <s v="Adams County"/>
    <x v="0"/>
    <n v="17732"/>
    <n v="9092"/>
    <n v="8640"/>
    <n v="8379"/>
    <n v="8077"/>
    <n v="1276"/>
    <s v="North Central"/>
    <x v="0"/>
  </r>
  <r>
    <n v="1"/>
    <s v="Adams County"/>
    <x v="1"/>
    <n v="2215"/>
    <n v="1157"/>
    <n v="1058"/>
    <n v="902"/>
    <n v="852"/>
    <n v="461"/>
    <s v="North Central"/>
    <x v="0"/>
  </r>
  <r>
    <n v="1"/>
    <s v="Adams County"/>
    <x v="2"/>
    <n v="1880"/>
    <n v="967"/>
    <n v="913"/>
    <n v="848"/>
    <n v="825"/>
    <n v="207"/>
    <s v="North Central"/>
    <x v="0"/>
  </r>
  <r>
    <n v="1"/>
    <s v="Adams County"/>
    <x v="3"/>
    <n v="1452"/>
    <n v="715"/>
    <n v="737"/>
    <n v="684"/>
    <n v="697"/>
    <n v="71"/>
    <s v="North Central"/>
    <x v="0"/>
  </r>
  <r>
    <n v="1"/>
    <s v="Adams County"/>
    <x v="4"/>
    <n v="1533"/>
    <n v="810"/>
    <n v="723"/>
    <n v="758"/>
    <n v="692"/>
    <n v="83"/>
    <s v="North Central"/>
    <x v="0"/>
  </r>
  <r>
    <n v="1"/>
    <s v="Adams County"/>
    <x v="5"/>
    <n v="1241"/>
    <n v="659"/>
    <n v="582"/>
    <n v="607"/>
    <n v="553"/>
    <n v="81"/>
    <s v="North Central"/>
    <x v="0"/>
  </r>
  <r>
    <n v="1"/>
    <s v="Adams County"/>
    <x v="6"/>
    <n v="939"/>
    <n v="521"/>
    <n v="418"/>
    <n v="470"/>
    <n v="388"/>
    <n v="81"/>
    <s v="North Central"/>
    <x v="0"/>
  </r>
  <r>
    <n v="1"/>
    <s v="Adams County"/>
    <x v="7"/>
    <n v="938"/>
    <n v="501"/>
    <n v="437"/>
    <n v="467"/>
    <n v="404"/>
    <n v="67"/>
    <s v="North Central"/>
    <x v="0"/>
  </r>
  <r>
    <n v="1"/>
    <s v="Adams County"/>
    <x v="8"/>
    <n v="1034"/>
    <n v="530"/>
    <n v="504"/>
    <n v="501"/>
    <n v="488"/>
    <n v="45"/>
    <s v="North Central"/>
    <x v="0"/>
  </r>
  <r>
    <n v="1"/>
    <s v="Adams County"/>
    <x v="9"/>
    <n v="1016"/>
    <n v="514"/>
    <n v="502"/>
    <n v="498"/>
    <n v="485"/>
    <n v="33"/>
    <s v="North Central"/>
    <x v="0"/>
  </r>
  <r>
    <n v="1"/>
    <s v="Adams County"/>
    <x v="10"/>
    <n v="1008"/>
    <n v="509"/>
    <n v="499"/>
    <n v="495"/>
    <n v="486"/>
    <n v="27"/>
    <s v="North Central"/>
    <x v="0"/>
  </r>
  <r>
    <n v="1"/>
    <s v="Adams County"/>
    <x v="11"/>
    <n v="1050"/>
    <n v="525"/>
    <n v="525"/>
    <n v="510"/>
    <n v="514"/>
    <n v="26"/>
    <s v="North Central"/>
    <x v="0"/>
  </r>
  <r>
    <n v="1"/>
    <s v="Adams County"/>
    <x v="12"/>
    <n v="953"/>
    <n v="493"/>
    <n v="460"/>
    <n v="484"/>
    <n v="450"/>
    <n v="19"/>
    <s v="North Central"/>
    <x v="0"/>
  </r>
  <r>
    <n v="1"/>
    <s v="Adams County"/>
    <x v="13"/>
    <n v="791"/>
    <n v="382"/>
    <n v="409"/>
    <n v="373"/>
    <n v="397"/>
    <n v="21"/>
    <s v="North Central"/>
    <x v="0"/>
  </r>
  <r>
    <n v="1"/>
    <s v="Adams County"/>
    <x v="14"/>
    <n v="568"/>
    <n v="294"/>
    <n v="274"/>
    <n v="281"/>
    <n v="267"/>
    <n v="20"/>
    <s v="North Central"/>
    <x v="0"/>
  </r>
  <r>
    <n v="1"/>
    <s v="Adams County"/>
    <x v="15"/>
    <n v="405"/>
    <n v="206"/>
    <n v="199"/>
    <n v="200"/>
    <n v="195"/>
    <n v="10"/>
    <s v="North Central"/>
    <x v="0"/>
  </r>
  <r>
    <n v="1"/>
    <s v="Adams County"/>
    <x v="16"/>
    <n v="282"/>
    <n v="135"/>
    <n v="147"/>
    <n v="133"/>
    <n v="142"/>
    <n v="7"/>
    <s v="North Central"/>
    <x v="0"/>
  </r>
  <r>
    <n v="1"/>
    <s v="Adams County"/>
    <x v="17"/>
    <n v="235"/>
    <n v="109"/>
    <n v="126"/>
    <n v="104"/>
    <n v="120"/>
    <n v="11"/>
    <s v="North Central"/>
    <x v="0"/>
  </r>
  <r>
    <n v="1"/>
    <s v="Adams County"/>
    <x v="18"/>
    <n v="192"/>
    <n v="65"/>
    <n v="127"/>
    <n v="64"/>
    <n v="122"/>
    <n v="6"/>
    <s v="North Central"/>
    <x v="0"/>
  </r>
  <r>
    <n v="3"/>
    <s v="Asotin County"/>
    <x v="0"/>
    <n v="21432"/>
    <n v="10301"/>
    <n v="11131"/>
    <n v="9822"/>
    <n v="10662"/>
    <n v="948"/>
    <s v="Eastern"/>
    <x v="1"/>
  </r>
  <r>
    <n v="3"/>
    <s v="Asotin County"/>
    <x v="1"/>
    <n v="1278"/>
    <n v="653"/>
    <n v="625"/>
    <n v="594"/>
    <n v="573"/>
    <n v="111"/>
    <s v="Eastern"/>
    <x v="1"/>
  </r>
  <r>
    <n v="3"/>
    <s v="Asotin County"/>
    <x v="2"/>
    <n v="1350"/>
    <n v="687"/>
    <n v="663"/>
    <n v="641"/>
    <n v="609"/>
    <n v="100"/>
    <s v="Eastern"/>
    <x v="1"/>
  </r>
  <r>
    <n v="3"/>
    <s v="Asotin County"/>
    <x v="3"/>
    <n v="1278"/>
    <n v="675"/>
    <n v="603"/>
    <n v="627"/>
    <n v="567"/>
    <n v="84"/>
    <s v="Eastern"/>
    <x v="1"/>
  </r>
  <r>
    <n v="3"/>
    <s v="Asotin County"/>
    <x v="4"/>
    <n v="1293"/>
    <n v="687"/>
    <n v="606"/>
    <n v="644"/>
    <n v="562"/>
    <n v="87"/>
    <s v="Eastern"/>
    <x v="1"/>
  </r>
  <r>
    <n v="3"/>
    <s v="Asotin County"/>
    <x v="5"/>
    <n v="1143"/>
    <n v="586"/>
    <n v="557"/>
    <n v="549"/>
    <n v="513"/>
    <n v="81"/>
    <s v="Eastern"/>
    <x v="1"/>
  </r>
  <r>
    <n v="3"/>
    <s v="Asotin County"/>
    <x v="6"/>
    <n v="1375"/>
    <n v="688"/>
    <n v="687"/>
    <n v="647"/>
    <n v="654"/>
    <n v="74"/>
    <s v="Eastern"/>
    <x v="1"/>
  </r>
  <r>
    <n v="3"/>
    <s v="Asotin County"/>
    <x v="7"/>
    <n v="1182"/>
    <n v="562"/>
    <n v="620"/>
    <n v="535"/>
    <n v="592"/>
    <n v="55"/>
    <s v="Eastern"/>
    <x v="1"/>
  </r>
  <r>
    <n v="3"/>
    <s v="Asotin County"/>
    <x v="8"/>
    <n v="1119"/>
    <n v="556"/>
    <n v="563"/>
    <n v="529"/>
    <n v="534"/>
    <n v="56"/>
    <s v="Eastern"/>
    <x v="1"/>
  </r>
  <r>
    <n v="3"/>
    <s v="Asotin County"/>
    <x v="9"/>
    <n v="1290"/>
    <n v="610"/>
    <n v="680"/>
    <n v="583"/>
    <n v="654"/>
    <n v="53"/>
    <s v="Eastern"/>
    <x v="1"/>
  </r>
  <r>
    <n v="3"/>
    <s v="Asotin County"/>
    <x v="10"/>
    <n v="1483"/>
    <n v="698"/>
    <n v="785"/>
    <n v="674"/>
    <n v="760"/>
    <n v="49"/>
    <s v="Eastern"/>
    <x v="1"/>
  </r>
  <r>
    <n v="3"/>
    <s v="Asotin County"/>
    <x v="11"/>
    <n v="1609"/>
    <n v="779"/>
    <n v="830"/>
    <n v="752"/>
    <n v="805"/>
    <n v="52"/>
    <s v="Eastern"/>
    <x v="1"/>
  </r>
  <r>
    <n v="3"/>
    <s v="Asotin County"/>
    <x v="12"/>
    <n v="1535"/>
    <n v="738"/>
    <n v="797"/>
    <n v="714"/>
    <n v="773"/>
    <n v="48"/>
    <s v="Eastern"/>
    <x v="1"/>
  </r>
  <r>
    <n v="3"/>
    <s v="Asotin County"/>
    <x v="13"/>
    <n v="1395"/>
    <n v="647"/>
    <n v="748"/>
    <n v="634"/>
    <n v="733"/>
    <n v="28"/>
    <s v="Eastern"/>
    <x v="1"/>
  </r>
  <r>
    <n v="3"/>
    <s v="Asotin County"/>
    <x v="14"/>
    <n v="1247"/>
    <n v="583"/>
    <n v="664"/>
    <n v="573"/>
    <n v="654"/>
    <n v="20"/>
    <s v="Eastern"/>
    <x v="1"/>
  </r>
  <r>
    <n v="3"/>
    <s v="Asotin County"/>
    <x v="15"/>
    <n v="947"/>
    <n v="451"/>
    <n v="496"/>
    <n v="435"/>
    <n v="488"/>
    <n v="24"/>
    <s v="Eastern"/>
    <x v="1"/>
  </r>
  <r>
    <n v="3"/>
    <s v="Asotin County"/>
    <x v="16"/>
    <n v="723"/>
    <n v="297"/>
    <n v="426"/>
    <n v="292"/>
    <n v="420"/>
    <n v="11"/>
    <s v="Eastern"/>
    <x v="1"/>
  </r>
  <r>
    <n v="3"/>
    <s v="Asotin County"/>
    <x v="17"/>
    <n v="595"/>
    <n v="235"/>
    <n v="360"/>
    <n v="234"/>
    <n v="354"/>
    <n v="7"/>
    <s v="Eastern"/>
    <x v="1"/>
  </r>
  <r>
    <n v="3"/>
    <s v="Asotin County"/>
    <x v="18"/>
    <n v="590"/>
    <n v="169"/>
    <n v="421"/>
    <n v="165"/>
    <n v="417"/>
    <n v="8"/>
    <s v="Eastern"/>
    <x v="1"/>
  </r>
  <r>
    <n v="5"/>
    <s v="Benton County"/>
    <x v="0"/>
    <n v="168294"/>
    <n v="84102"/>
    <n v="84192"/>
    <n v="78018"/>
    <n v="78201"/>
    <n v="12075"/>
    <s v="Benton-Franklin"/>
    <x v="2"/>
  </r>
  <r>
    <n v="5"/>
    <s v="Benton County"/>
    <x v="1"/>
    <n v="12541"/>
    <n v="6307"/>
    <n v="6234"/>
    <n v="5563"/>
    <n v="5485"/>
    <n v="1493"/>
    <s v="Benton-Franklin"/>
    <x v="2"/>
  </r>
  <r>
    <n v="5"/>
    <s v="Benton County"/>
    <x v="2"/>
    <n v="12422"/>
    <n v="6419"/>
    <n v="6003"/>
    <n v="5773"/>
    <n v="5348"/>
    <n v="1301"/>
    <s v="Benton-Franklin"/>
    <x v="2"/>
  </r>
  <r>
    <n v="5"/>
    <s v="Benton County"/>
    <x v="3"/>
    <n v="12559"/>
    <n v="6397"/>
    <n v="6162"/>
    <n v="5801"/>
    <n v="5625"/>
    <n v="1133"/>
    <s v="Benton-Franklin"/>
    <x v="2"/>
  </r>
  <r>
    <n v="5"/>
    <s v="Benton County"/>
    <x v="4"/>
    <n v="12684"/>
    <n v="6514"/>
    <n v="6170"/>
    <n v="5937"/>
    <n v="5690"/>
    <n v="1057"/>
    <s v="Benton-Franklin"/>
    <x v="2"/>
  </r>
  <r>
    <n v="5"/>
    <s v="Benton County"/>
    <x v="5"/>
    <n v="10673"/>
    <n v="5523"/>
    <n v="5150"/>
    <n v="5168"/>
    <n v="4805"/>
    <n v="700"/>
    <s v="Benton-Franklin"/>
    <x v="2"/>
  </r>
  <r>
    <n v="5"/>
    <s v="Benton County"/>
    <x v="6"/>
    <n v="11250"/>
    <n v="5843"/>
    <n v="5407"/>
    <n v="5496"/>
    <n v="5048"/>
    <n v="706"/>
    <s v="Benton-Franklin"/>
    <x v="2"/>
  </r>
  <r>
    <n v="5"/>
    <s v="Benton County"/>
    <x v="7"/>
    <n v="9582"/>
    <n v="4798"/>
    <n v="4784"/>
    <n v="4419"/>
    <n v="4431"/>
    <n v="732"/>
    <s v="Benton-Franklin"/>
    <x v="2"/>
  </r>
  <r>
    <n v="5"/>
    <s v="Benton County"/>
    <x v="8"/>
    <n v="10199"/>
    <n v="5123"/>
    <n v="5076"/>
    <n v="4732"/>
    <n v="4725"/>
    <n v="742"/>
    <s v="Benton-Franklin"/>
    <x v="2"/>
  </r>
  <r>
    <n v="5"/>
    <s v="Benton County"/>
    <x v="9"/>
    <n v="10875"/>
    <n v="5384"/>
    <n v="5491"/>
    <n v="4995"/>
    <n v="5113"/>
    <n v="767"/>
    <s v="Benton-Franklin"/>
    <x v="2"/>
  </r>
  <r>
    <n v="5"/>
    <s v="Benton County"/>
    <x v="10"/>
    <n v="12325"/>
    <n v="6101"/>
    <n v="6224"/>
    <n v="5752"/>
    <n v="5827"/>
    <n v="746"/>
    <s v="Benton-Franklin"/>
    <x v="2"/>
  </r>
  <r>
    <n v="5"/>
    <s v="Benton County"/>
    <x v="11"/>
    <n v="12546"/>
    <n v="6231"/>
    <n v="6315"/>
    <n v="5874"/>
    <n v="5985"/>
    <n v="687"/>
    <s v="Benton-Franklin"/>
    <x v="2"/>
  </r>
  <r>
    <n v="5"/>
    <s v="Benton County"/>
    <x v="12"/>
    <n v="11452"/>
    <n v="5757"/>
    <n v="5695"/>
    <n v="5492"/>
    <n v="5368"/>
    <n v="592"/>
    <s v="Benton-Franklin"/>
    <x v="2"/>
  </r>
  <r>
    <n v="5"/>
    <s v="Benton County"/>
    <x v="13"/>
    <n v="9043"/>
    <n v="4539"/>
    <n v="4504"/>
    <n v="4296"/>
    <n v="4267"/>
    <n v="480"/>
    <s v="Benton-Franklin"/>
    <x v="2"/>
  </r>
  <r>
    <n v="5"/>
    <s v="Benton County"/>
    <x v="14"/>
    <n v="6619"/>
    <n v="3343"/>
    <n v="3276"/>
    <n v="3145"/>
    <n v="3064"/>
    <n v="410"/>
    <s v="Benton-Franklin"/>
    <x v="2"/>
  </r>
  <r>
    <n v="5"/>
    <s v="Benton County"/>
    <x v="15"/>
    <n v="4666"/>
    <n v="2195"/>
    <n v="2471"/>
    <n v="2079"/>
    <n v="2340"/>
    <n v="247"/>
    <s v="Benton-Franklin"/>
    <x v="2"/>
  </r>
  <r>
    <n v="5"/>
    <s v="Benton County"/>
    <x v="16"/>
    <n v="3593"/>
    <n v="1646"/>
    <n v="1947"/>
    <n v="1566"/>
    <n v="1888"/>
    <n v="139"/>
    <s v="Benton-Franklin"/>
    <x v="2"/>
  </r>
  <r>
    <n v="5"/>
    <s v="Benton County"/>
    <x v="17"/>
    <n v="2775"/>
    <n v="1155"/>
    <n v="1620"/>
    <n v="1128"/>
    <n v="1574"/>
    <n v="73"/>
    <s v="Benton-Franklin"/>
    <x v="2"/>
  </r>
  <r>
    <n v="5"/>
    <s v="Benton County"/>
    <x v="18"/>
    <n v="2490"/>
    <n v="827"/>
    <n v="1663"/>
    <n v="802"/>
    <n v="1618"/>
    <n v="70"/>
    <s v="Benton-Franklin"/>
    <x v="2"/>
  </r>
  <r>
    <n v="7"/>
    <s v="Chelan County"/>
    <x v="0"/>
    <n v="72372"/>
    <n v="36338"/>
    <n v="36034"/>
    <n v="34633"/>
    <n v="34404"/>
    <n v="3335"/>
    <s v="North Central"/>
    <x v="0"/>
  </r>
  <r>
    <n v="7"/>
    <s v="Chelan County"/>
    <x v="1"/>
    <n v="5089"/>
    <n v="2679"/>
    <n v="2410"/>
    <n v="2386"/>
    <n v="2138"/>
    <n v="565"/>
    <s v="North Central"/>
    <x v="0"/>
  </r>
  <r>
    <n v="7"/>
    <s v="Chelan County"/>
    <x v="2"/>
    <n v="5001"/>
    <n v="2594"/>
    <n v="2407"/>
    <n v="2404"/>
    <n v="2227"/>
    <n v="370"/>
    <s v="North Central"/>
    <x v="0"/>
  </r>
  <r>
    <n v="7"/>
    <s v="Chelan County"/>
    <x v="3"/>
    <n v="4811"/>
    <n v="2413"/>
    <n v="2398"/>
    <n v="2306"/>
    <n v="2279"/>
    <n v="226"/>
    <s v="North Central"/>
    <x v="0"/>
  </r>
  <r>
    <n v="7"/>
    <s v="Chelan County"/>
    <x v="4"/>
    <n v="5080"/>
    <n v="2655"/>
    <n v="2425"/>
    <n v="2533"/>
    <n v="2308"/>
    <n v="239"/>
    <s v="North Central"/>
    <x v="0"/>
  </r>
  <r>
    <n v="7"/>
    <s v="Chelan County"/>
    <x v="5"/>
    <n v="4456"/>
    <n v="2331"/>
    <n v="2125"/>
    <n v="2206"/>
    <n v="2024"/>
    <n v="226"/>
    <s v="North Central"/>
    <x v="0"/>
  </r>
  <r>
    <n v="7"/>
    <s v="Chelan County"/>
    <x v="6"/>
    <n v="4363"/>
    <n v="2401"/>
    <n v="1962"/>
    <n v="2263"/>
    <n v="1866"/>
    <n v="234"/>
    <s v="North Central"/>
    <x v="0"/>
  </r>
  <r>
    <n v="7"/>
    <s v="Chelan County"/>
    <x v="7"/>
    <n v="3744"/>
    <n v="1871"/>
    <n v="1873"/>
    <n v="1759"/>
    <n v="1769"/>
    <n v="216"/>
    <s v="North Central"/>
    <x v="0"/>
  </r>
  <r>
    <n v="7"/>
    <s v="Chelan County"/>
    <x v="8"/>
    <n v="4070"/>
    <n v="2055"/>
    <n v="2015"/>
    <n v="1928"/>
    <n v="1924"/>
    <n v="218"/>
    <s v="North Central"/>
    <x v="0"/>
  </r>
  <r>
    <n v="7"/>
    <s v="Chelan County"/>
    <x v="9"/>
    <n v="4341"/>
    <n v="2212"/>
    <n v="2129"/>
    <n v="2110"/>
    <n v="2028"/>
    <n v="203"/>
    <s v="North Central"/>
    <x v="0"/>
  </r>
  <r>
    <n v="7"/>
    <s v="Chelan County"/>
    <x v="10"/>
    <n v="5149"/>
    <n v="2516"/>
    <n v="2633"/>
    <n v="2438"/>
    <n v="2525"/>
    <n v="186"/>
    <s v="North Central"/>
    <x v="0"/>
  </r>
  <r>
    <n v="7"/>
    <s v="Chelan County"/>
    <x v="11"/>
    <n v="5429"/>
    <n v="2716"/>
    <n v="2713"/>
    <n v="2626"/>
    <n v="2609"/>
    <n v="194"/>
    <s v="North Central"/>
    <x v="0"/>
  </r>
  <r>
    <n v="7"/>
    <s v="Chelan County"/>
    <x v="12"/>
    <n v="5213"/>
    <n v="2668"/>
    <n v="2545"/>
    <n v="2589"/>
    <n v="2474"/>
    <n v="150"/>
    <s v="North Central"/>
    <x v="0"/>
  </r>
  <r>
    <n v="7"/>
    <s v="Chelan County"/>
    <x v="13"/>
    <n v="4239"/>
    <n v="2072"/>
    <n v="2167"/>
    <n v="2029"/>
    <n v="2116"/>
    <n v="94"/>
    <s v="North Central"/>
    <x v="0"/>
  </r>
  <r>
    <n v="7"/>
    <s v="Chelan County"/>
    <x v="14"/>
    <n v="3399"/>
    <n v="1645"/>
    <n v="1754"/>
    <n v="1608"/>
    <n v="1717"/>
    <n v="74"/>
    <s v="North Central"/>
    <x v="0"/>
  </r>
  <r>
    <n v="7"/>
    <s v="Chelan County"/>
    <x v="15"/>
    <n v="2611"/>
    <n v="1273"/>
    <n v="1338"/>
    <n v="1251"/>
    <n v="1310"/>
    <n v="50"/>
    <s v="North Central"/>
    <x v="0"/>
  </r>
  <r>
    <n v="7"/>
    <s v="Chelan County"/>
    <x v="16"/>
    <n v="2090"/>
    <n v="976"/>
    <n v="1114"/>
    <n v="961"/>
    <n v="1090"/>
    <n v="39"/>
    <s v="North Central"/>
    <x v="0"/>
  </r>
  <r>
    <n v="7"/>
    <s v="Chelan County"/>
    <x v="17"/>
    <n v="1667"/>
    <n v="707"/>
    <n v="960"/>
    <n v="693"/>
    <n v="941"/>
    <n v="33"/>
    <s v="North Central"/>
    <x v="0"/>
  </r>
  <r>
    <n v="7"/>
    <s v="Chelan County"/>
    <x v="18"/>
    <n v="1620"/>
    <n v="554"/>
    <n v="1066"/>
    <n v="543"/>
    <n v="1059"/>
    <n v="18"/>
    <s v="North Central"/>
    <x v="0"/>
  </r>
  <r>
    <n v="9"/>
    <s v="Clallam County"/>
    <x v="0"/>
    <n v="71413"/>
    <n v="35233"/>
    <n v="36180"/>
    <n v="31542"/>
    <n v="32570"/>
    <n v="7301"/>
    <s v="Olympic"/>
    <x v="3"/>
  </r>
  <r>
    <n v="9"/>
    <s v="Clallam County"/>
    <x v="1"/>
    <n v="3404"/>
    <n v="1719"/>
    <n v="1685"/>
    <n v="1404"/>
    <n v="1336"/>
    <n v="664"/>
    <s v="Olympic"/>
    <x v="3"/>
  </r>
  <r>
    <n v="9"/>
    <s v="Clallam County"/>
    <x v="2"/>
    <n v="3434"/>
    <n v="1716"/>
    <n v="1718"/>
    <n v="1419"/>
    <n v="1384"/>
    <n v="631"/>
    <s v="Olympic"/>
    <x v="3"/>
  </r>
  <r>
    <n v="9"/>
    <s v="Clallam County"/>
    <x v="3"/>
    <n v="3892"/>
    <n v="2010"/>
    <n v="1882"/>
    <n v="1692"/>
    <n v="1577"/>
    <n v="623"/>
    <s v="Olympic"/>
    <x v="3"/>
  </r>
  <r>
    <n v="9"/>
    <s v="Clallam County"/>
    <x v="4"/>
    <n v="4201"/>
    <n v="2253"/>
    <n v="1948"/>
    <n v="1882"/>
    <n v="1623"/>
    <n v="696"/>
    <s v="Olympic"/>
    <x v="3"/>
  </r>
  <r>
    <n v="9"/>
    <s v="Clallam County"/>
    <x v="5"/>
    <n v="3710"/>
    <n v="2008"/>
    <n v="1702"/>
    <n v="1644"/>
    <n v="1415"/>
    <n v="651"/>
    <s v="Olympic"/>
    <x v="3"/>
  </r>
  <r>
    <n v="9"/>
    <s v="Clallam County"/>
    <x v="6"/>
    <n v="3771"/>
    <n v="2162"/>
    <n v="1609"/>
    <n v="1855"/>
    <n v="1380"/>
    <n v="536"/>
    <s v="Olympic"/>
    <x v="3"/>
  </r>
  <r>
    <n v="9"/>
    <s v="Clallam County"/>
    <x v="7"/>
    <n v="3031"/>
    <n v="1651"/>
    <n v="1380"/>
    <n v="1392"/>
    <n v="1219"/>
    <n v="420"/>
    <s v="Olympic"/>
    <x v="3"/>
  </r>
  <r>
    <n v="9"/>
    <s v="Clallam County"/>
    <x v="8"/>
    <n v="3309"/>
    <n v="1731"/>
    <n v="1578"/>
    <n v="1490"/>
    <n v="1388"/>
    <n v="431"/>
    <s v="Olympic"/>
    <x v="3"/>
  </r>
  <r>
    <n v="9"/>
    <s v="Clallam County"/>
    <x v="9"/>
    <n v="3446"/>
    <n v="1709"/>
    <n v="1737"/>
    <n v="1502"/>
    <n v="1536"/>
    <n v="408"/>
    <s v="Olympic"/>
    <x v="3"/>
  </r>
  <r>
    <n v="9"/>
    <s v="Clallam County"/>
    <x v="10"/>
    <n v="4740"/>
    <n v="2233"/>
    <n v="2507"/>
    <n v="2034"/>
    <n v="2255"/>
    <n v="451"/>
    <s v="Olympic"/>
    <x v="3"/>
  </r>
  <r>
    <n v="9"/>
    <s v="Clallam County"/>
    <x v="11"/>
    <n v="5546"/>
    <n v="2677"/>
    <n v="2869"/>
    <n v="2462"/>
    <n v="2654"/>
    <n v="430"/>
    <s v="Olympic"/>
    <x v="3"/>
  </r>
  <r>
    <n v="9"/>
    <s v="Clallam County"/>
    <x v="12"/>
    <n v="6139"/>
    <n v="2931"/>
    <n v="3208"/>
    <n v="2758"/>
    <n v="2987"/>
    <n v="394"/>
    <s v="Olympic"/>
    <x v="3"/>
  </r>
  <r>
    <n v="9"/>
    <s v="Clallam County"/>
    <x v="13"/>
    <n v="6039"/>
    <n v="2874"/>
    <n v="3165"/>
    <n v="2739"/>
    <n v="2983"/>
    <n v="317"/>
    <s v="Olympic"/>
    <x v="3"/>
  </r>
  <r>
    <n v="9"/>
    <s v="Clallam County"/>
    <x v="14"/>
    <n v="5214"/>
    <n v="2421"/>
    <n v="2793"/>
    <n v="2317"/>
    <n v="2676"/>
    <n v="221"/>
    <s v="Olympic"/>
    <x v="3"/>
  </r>
  <r>
    <n v="9"/>
    <s v="Clallam County"/>
    <x v="15"/>
    <n v="3999"/>
    <n v="1897"/>
    <n v="2102"/>
    <n v="1814"/>
    <n v="2006"/>
    <n v="179"/>
    <s v="Olympic"/>
    <x v="3"/>
  </r>
  <r>
    <n v="9"/>
    <s v="Clallam County"/>
    <x v="16"/>
    <n v="3013"/>
    <n v="1364"/>
    <n v="1649"/>
    <n v="1317"/>
    <n v="1570"/>
    <n v="126"/>
    <s v="Olympic"/>
    <x v="3"/>
  </r>
  <r>
    <n v="9"/>
    <s v="Clallam County"/>
    <x v="17"/>
    <n v="2419"/>
    <n v="1112"/>
    <n v="1307"/>
    <n v="1086"/>
    <n v="1270"/>
    <n v="63"/>
    <s v="Olympic"/>
    <x v="3"/>
  </r>
  <r>
    <n v="9"/>
    <s v="Clallam County"/>
    <x v="18"/>
    <n v="2106"/>
    <n v="765"/>
    <n v="1341"/>
    <n v="735"/>
    <n v="1311"/>
    <n v="60"/>
    <s v="Olympic"/>
    <x v="3"/>
  </r>
  <r>
    <n v="11"/>
    <s v="Clark County"/>
    <x v="0"/>
    <n v="432002"/>
    <n v="215494"/>
    <n v="216508"/>
    <n v="193234"/>
    <n v="194243"/>
    <n v="44525"/>
    <s v="Southwest"/>
    <x v="4"/>
  </r>
  <r>
    <n v="11"/>
    <s v="Clark County"/>
    <x v="1"/>
    <n v="30743"/>
    <n v="15682"/>
    <n v="15061"/>
    <n v="13338"/>
    <n v="12826"/>
    <n v="4579"/>
    <s v="Southwest"/>
    <x v="4"/>
  </r>
  <r>
    <n v="11"/>
    <s v="Clark County"/>
    <x v="2"/>
    <n v="31219"/>
    <n v="15918"/>
    <n v="15301"/>
    <n v="13669"/>
    <n v="13139"/>
    <n v="4411"/>
    <s v="Southwest"/>
    <x v="4"/>
  </r>
  <r>
    <n v="11"/>
    <s v="Clark County"/>
    <x v="3"/>
    <n v="32361"/>
    <n v="16488"/>
    <n v="15873"/>
    <n v="14374"/>
    <n v="13760"/>
    <n v="4227"/>
    <s v="Southwest"/>
    <x v="4"/>
  </r>
  <r>
    <n v="11"/>
    <s v="Clark County"/>
    <x v="4"/>
    <n v="29262"/>
    <n v="15148"/>
    <n v="14114"/>
    <n v="13279"/>
    <n v="12364"/>
    <n v="3619"/>
    <s v="Southwest"/>
    <x v="4"/>
  </r>
  <r>
    <n v="11"/>
    <s v="Clark County"/>
    <x v="5"/>
    <n v="24865"/>
    <n v="13005"/>
    <n v="11860"/>
    <n v="11411"/>
    <n v="10580"/>
    <n v="2874"/>
    <s v="Southwest"/>
    <x v="4"/>
  </r>
  <r>
    <n v="11"/>
    <s v="Clark County"/>
    <x v="6"/>
    <n v="30024"/>
    <n v="15572"/>
    <n v="14452"/>
    <n v="13994"/>
    <n v="12985"/>
    <n v="3045"/>
    <s v="Southwest"/>
    <x v="4"/>
  </r>
  <r>
    <n v="11"/>
    <s v="Clark County"/>
    <x v="7"/>
    <n v="29639"/>
    <n v="14736"/>
    <n v="14903"/>
    <n v="13154"/>
    <n v="13292"/>
    <n v="3193"/>
    <s v="Southwest"/>
    <x v="4"/>
  </r>
  <r>
    <n v="11"/>
    <s v="Clark County"/>
    <x v="8"/>
    <n v="30955"/>
    <n v="15530"/>
    <n v="15425"/>
    <n v="13737"/>
    <n v="13522"/>
    <n v="3696"/>
    <s v="Southwest"/>
    <x v="4"/>
  </r>
  <r>
    <n v="11"/>
    <s v="Clark County"/>
    <x v="9"/>
    <n v="30344"/>
    <n v="15205"/>
    <n v="15139"/>
    <n v="13643"/>
    <n v="13575"/>
    <n v="3126"/>
    <s v="Southwest"/>
    <x v="4"/>
  </r>
  <r>
    <n v="11"/>
    <s v="Clark County"/>
    <x v="10"/>
    <n v="32017"/>
    <n v="15981"/>
    <n v="16036"/>
    <n v="14576"/>
    <n v="14611"/>
    <n v="2830"/>
    <s v="Southwest"/>
    <x v="4"/>
  </r>
  <r>
    <n v="11"/>
    <s v="Clark County"/>
    <x v="11"/>
    <n v="30934"/>
    <n v="15407"/>
    <n v="15527"/>
    <n v="14168"/>
    <n v="14192"/>
    <n v="2574"/>
    <s v="Southwest"/>
    <x v="4"/>
  </r>
  <r>
    <n v="11"/>
    <s v="Clark County"/>
    <x v="12"/>
    <n v="27774"/>
    <n v="13631"/>
    <n v="14143"/>
    <n v="12608"/>
    <n v="13016"/>
    <n v="2150"/>
    <s v="Southwest"/>
    <x v="4"/>
  </r>
  <r>
    <n v="11"/>
    <s v="Clark County"/>
    <x v="13"/>
    <n v="23335"/>
    <n v="11347"/>
    <n v="11988"/>
    <n v="10611"/>
    <n v="11155"/>
    <n v="1569"/>
    <s v="Southwest"/>
    <x v="4"/>
  </r>
  <r>
    <n v="11"/>
    <s v="Clark County"/>
    <x v="14"/>
    <n v="16355"/>
    <n v="8115"/>
    <n v="8240"/>
    <n v="7624"/>
    <n v="7711"/>
    <n v="1020"/>
    <s v="Southwest"/>
    <x v="4"/>
  </r>
  <r>
    <n v="11"/>
    <s v="Clark County"/>
    <x v="15"/>
    <n v="11452"/>
    <n v="5377"/>
    <n v="6075"/>
    <n v="5057"/>
    <n v="5731"/>
    <n v="664"/>
    <s v="Southwest"/>
    <x v="4"/>
  </r>
  <r>
    <n v="11"/>
    <s v="Clark County"/>
    <x v="16"/>
    <n v="8374"/>
    <n v="3693"/>
    <n v="4681"/>
    <n v="3515"/>
    <n v="4396"/>
    <n v="463"/>
    <s v="Southwest"/>
    <x v="4"/>
  </r>
  <r>
    <n v="11"/>
    <s v="Clark County"/>
    <x v="17"/>
    <n v="6512"/>
    <n v="2623"/>
    <n v="3889"/>
    <n v="2510"/>
    <n v="3734"/>
    <n v="268"/>
    <s v="Southwest"/>
    <x v="4"/>
  </r>
  <r>
    <n v="11"/>
    <s v="Clark County"/>
    <x v="18"/>
    <n v="5837"/>
    <n v="2036"/>
    <n v="3801"/>
    <n v="1966"/>
    <n v="3654"/>
    <n v="217"/>
    <s v="Southwest"/>
    <x v="4"/>
  </r>
  <r>
    <n v="13"/>
    <s v="Columbia County"/>
    <x v="0"/>
    <n v="4040"/>
    <n v="1967"/>
    <n v="2073"/>
    <n v="1897"/>
    <n v="1967"/>
    <n v="176"/>
    <s v="Eastern"/>
    <x v="1"/>
  </r>
  <r>
    <n v="13"/>
    <s v="Columbia County"/>
    <x v="1"/>
    <n v="205"/>
    <n v="104"/>
    <n v="101"/>
    <n v="98"/>
    <n v="96"/>
    <n v="11"/>
    <s v="Eastern"/>
    <x v="1"/>
  </r>
  <r>
    <n v="13"/>
    <s v="Columbia County"/>
    <x v="2"/>
    <n v="207"/>
    <n v="99"/>
    <n v="108"/>
    <n v="92"/>
    <n v="99"/>
    <n v="16"/>
    <s v="Eastern"/>
    <x v="1"/>
  </r>
  <r>
    <n v="13"/>
    <s v="Columbia County"/>
    <x v="3"/>
    <n v="253"/>
    <n v="117"/>
    <n v="136"/>
    <n v="106"/>
    <n v="125"/>
    <n v="22"/>
    <s v="Eastern"/>
    <x v="1"/>
  </r>
  <r>
    <n v="13"/>
    <s v="Columbia County"/>
    <x v="4"/>
    <n v="225"/>
    <n v="118"/>
    <n v="107"/>
    <n v="112"/>
    <n v="100"/>
    <n v="13"/>
    <s v="Eastern"/>
    <x v="1"/>
  </r>
  <r>
    <n v="13"/>
    <s v="Columbia County"/>
    <x v="5"/>
    <n v="175"/>
    <n v="82"/>
    <n v="93"/>
    <n v="77"/>
    <n v="83"/>
    <n v="15"/>
    <s v="Eastern"/>
    <x v="1"/>
  </r>
  <r>
    <n v="13"/>
    <s v="Columbia County"/>
    <x v="6"/>
    <n v="185"/>
    <n v="104"/>
    <n v="81"/>
    <n v="95"/>
    <n v="70"/>
    <n v="20"/>
    <s v="Eastern"/>
    <x v="1"/>
  </r>
  <r>
    <n v="13"/>
    <s v="Columbia County"/>
    <x v="7"/>
    <n v="162"/>
    <n v="87"/>
    <n v="75"/>
    <n v="85"/>
    <n v="70"/>
    <n v="7"/>
    <s v="Eastern"/>
    <x v="1"/>
  </r>
  <r>
    <n v="13"/>
    <s v="Columbia County"/>
    <x v="8"/>
    <n v="228"/>
    <n v="110"/>
    <n v="118"/>
    <n v="108"/>
    <n v="107"/>
    <n v="13"/>
    <s v="Eastern"/>
    <x v="1"/>
  </r>
  <r>
    <n v="13"/>
    <s v="Columbia County"/>
    <x v="9"/>
    <n v="240"/>
    <n v="123"/>
    <n v="117"/>
    <n v="120"/>
    <n v="111"/>
    <n v="9"/>
    <s v="Eastern"/>
    <x v="1"/>
  </r>
  <r>
    <n v="13"/>
    <s v="Columbia County"/>
    <x v="10"/>
    <n v="291"/>
    <n v="142"/>
    <n v="149"/>
    <n v="140"/>
    <n v="145"/>
    <n v="6"/>
    <s v="Eastern"/>
    <x v="1"/>
  </r>
  <r>
    <n v="13"/>
    <s v="Columbia County"/>
    <x v="11"/>
    <n v="305"/>
    <n v="142"/>
    <n v="163"/>
    <n v="140"/>
    <n v="155"/>
    <n v="10"/>
    <s v="Eastern"/>
    <x v="1"/>
  </r>
  <r>
    <n v="13"/>
    <s v="Columbia County"/>
    <x v="12"/>
    <n v="385"/>
    <n v="181"/>
    <n v="204"/>
    <n v="179"/>
    <n v="198"/>
    <n v="8"/>
    <s v="Eastern"/>
    <x v="1"/>
  </r>
  <r>
    <n v="13"/>
    <s v="Columbia County"/>
    <x v="13"/>
    <n v="334"/>
    <n v="176"/>
    <n v="158"/>
    <n v="171"/>
    <n v="157"/>
    <n v="6"/>
    <s v="Eastern"/>
    <x v="1"/>
  </r>
  <r>
    <n v="13"/>
    <s v="Columbia County"/>
    <x v="14"/>
    <n v="271"/>
    <n v="131"/>
    <n v="140"/>
    <n v="128"/>
    <n v="139"/>
    <n v="4"/>
    <s v="Eastern"/>
    <x v="1"/>
  </r>
  <r>
    <n v="13"/>
    <s v="Columbia County"/>
    <x v="15"/>
    <n v="197"/>
    <n v="97"/>
    <n v="100"/>
    <n v="95"/>
    <n v="96"/>
    <n v="6"/>
    <s v="Eastern"/>
    <x v="1"/>
  </r>
  <r>
    <n v="13"/>
    <s v="Columbia County"/>
    <x v="16"/>
    <n v="161"/>
    <n v="71"/>
    <n v="90"/>
    <n v="69"/>
    <n v="88"/>
    <n v="4"/>
    <s v="Eastern"/>
    <x v="1"/>
  </r>
  <r>
    <n v="13"/>
    <s v="Columbia County"/>
    <x v="17"/>
    <n v="102"/>
    <n v="44"/>
    <n v="58"/>
    <n v="44"/>
    <n v="56"/>
    <n v="2"/>
    <s v="Eastern"/>
    <x v="1"/>
  </r>
  <r>
    <n v="13"/>
    <s v="Columbia County"/>
    <x v="18"/>
    <n v="114"/>
    <n v="39"/>
    <n v="75"/>
    <n v="38"/>
    <n v="72"/>
    <n v="4"/>
    <s v="Eastern"/>
    <x v="1"/>
  </r>
  <r>
    <n v="15"/>
    <s v="Cowlitz County"/>
    <x v="0"/>
    <n v="101966"/>
    <n v="50749"/>
    <n v="51217"/>
    <n v="47413"/>
    <n v="47795"/>
    <n v="6758"/>
    <s v="Southwest"/>
    <x v="4"/>
  </r>
  <r>
    <n v="15"/>
    <s v="Cowlitz County"/>
    <x v="1"/>
    <n v="6971"/>
    <n v="3521"/>
    <n v="3450"/>
    <n v="3089"/>
    <n v="3012"/>
    <n v="870"/>
    <s v="Southwest"/>
    <x v="4"/>
  </r>
  <r>
    <n v="15"/>
    <s v="Cowlitz County"/>
    <x v="2"/>
    <n v="6843"/>
    <n v="3455"/>
    <n v="3388"/>
    <n v="3166"/>
    <n v="3096"/>
    <n v="581"/>
    <s v="Southwest"/>
    <x v="4"/>
  </r>
  <r>
    <n v="15"/>
    <s v="Cowlitz County"/>
    <x v="3"/>
    <n v="6972"/>
    <n v="3516"/>
    <n v="3456"/>
    <n v="3246"/>
    <n v="3137"/>
    <n v="589"/>
    <s v="Southwest"/>
    <x v="4"/>
  </r>
  <r>
    <n v="15"/>
    <s v="Cowlitz County"/>
    <x v="4"/>
    <n v="7185"/>
    <n v="3737"/>
    <n v="3448"/>
    <n v="3409"/>
    <n v="3156"/>
    <n v="620"/>
    <s v="Southwest"/>
    <x v="4"/>
  </r>
  <r>
    <n v="15"/>
    <s v="Cowlitz County"/>
    <x v="5"/>
    <n v="5734"/>
    <n v="3037"/>
    <n v="2697"/>
    <n v="2779"/>
    <n v="2478"/>
    <n v="477"/>
    <s v="Southwest"/>
    <x v="4"/>
  </r>
  <r>
    <n v="15"/>
    <s v="Cowlitz County"/>
    <x v="6"/>
    <n v="6410"/>
    <n v="3419"/>
    <n v="2991"/>
    <n v="3123"/>
    <n v="2776"/>
    <n v="511"/>
    <s v="Southwest"/>
    <x v="4"/>
  </r>
  <r>
    <n v="15"/>
    <s v="Cowlitz County"/>
    <x v="7"/>
    <n v="5955"/>
    <n v="3065"/>
    <n v="2890"/>
    <n v="2865"/>
    <n v="2736"/>
    <n v="354"/>
    <s v="Southwest"/>
    <x v="4"/>
  </r>
  <r>
    <n v="15"/>
    <s v="Cowlitz County"/>
    <x v="8"/>
    <n v="6335"/>
    <n v="3141"/>
    <n v="3194"/>
    <n v="2951"/>
    <n v="2976"/>
    <n v="408"/>
    <s v="Southwest"/>
    <x v="4"/>
  </r>
  <r>
    <n v="15"/>
    <s v="Cowlitz County"/>
    <x v="9"/>
    <n v="6470"/>
    <n v="3200"/>
    <n v="3270"/>
    <n v="3011"/>
    <n v="3114"/>
    <n v="345"/>
    <s v="Southwest"/>
    <x v="4"/>
  </r>
  <r>
    <n v="15"/>
    <s v="Cowlitz County"/>
    <x v="10"/>
    <n v="7470"/>
    <n v="3726"/>
    <n v="3744"/>
    <n v="3536"/>
    <n v="3528"/>
    <n v="406"/>
    <s v="Southwest"/>
    <x v="4"/>
  </r>
  <r>
    <n v="15"/>
    <s v="Cowlitz County"/>
    <x v="11"/>
    <n v="7704"/>
    <n v="3862"/>
    <n v="3842"/>
    <n v="3695"/>
    <n v="3607"/>
    <n v="402"/>
    <s v="Southwest"/>
    <x v="4"/>
  </r>
  <r>
    <n v="15"/>
    <s v="Cowlitz County"/>
    <x v="12"/>
    <n v="7176"/>
    <n v="3529"/>
    <n v="3647"/>
    <n v="3370"/>
    <n v="3437"/>
    <n v="369"/>
    <s v="Southwest"/>
    <x v="4"/>
  </r>
  <r>
    <n v="15"/>
    <s v="Cowlitz County"/>
    <x v="13"/>
    <n v="6520"/>
    <n v="3241"/>
    <n v="3279"/>
    <n v="3089"/>
    <n v="3136"/>
    <n v="295"/>
    <s v="Southwest"/>
    <x v="4"/>
  </r>
  <r>
    <n v="15"/>
    <s v="Cowlitz County"/>
    <x v="14"/>
    <n v="4770"/>
    <n v="2306"/>
    <n v="2464"/>
    <n v="2214"/>
    <n v="2337"/>
    <n v="219"/>
    <s v="Southwest"/>
    <x v="4"/>
  </r>
  <r>
    <n v="15"/>
    <s v="Cowlitz County"/>
    <x v="15"/>
    <n v="3276"/>
    <n v="1532"/>
    <n v="1744"/>
    <n v="1491"/>
    <n v="1670"/>
    <n v="115"/>
    <s v="Southwest"/>
    <x v="4"/>
  </r>
  <r>
    <n v="15"/>
    <s v="Cowlitz County"/>
    <x v="16"/>
    <n v="2483"/>
    <n v="1115"/>
    <n v="1368"/>
    <n v="1073"/>
    <n v="1316"/>
    <n v="94"/>
    <s v="Southwest"/>
    <x v="4"/>
  </r>
  <r>
    <n v="15"/>
    <s v="Cowlitz County"/>
    <x v="17"/>
    <n v="1921"/>
    <n v="796"/>
    <n v="1125"/>
    <n v="770"/>
    <n v="1089"/>
    <n v="62"/>
    <s v="Southwest"/>
    <x v="4"/>
  </r>
  <r>
    <n v="15"/>
    <s v="Cowlitz County"/>
    <x v="18"/>
    <n v="1771"/>
    <n v="551"/>
    <n v="1220"/>
    <n v="536"/>
    <n v="1194"/>
    <n v="41"/>
    <s v="Southwest"/>
    <x v="4"/>
  </r>
  <r>
    <n v="17"/>
    <s v="Douglas County"/>
    <x v="0"/>
    <n v="37565"/>
    <n v="18600"/>
    <n v="18965"/>
    <n v="17617"/>
    <n v="17829"/>
    <n v="2119"/>
    <s v="North Central"/>
    <x v="0"/>
  </r>
  <r>
    <n v="17"/>
    <s v="Douglas County"/>
    <x v="1"/>
    <n v="2903"/>
    <n v="1501"/>
    <n v="1402"/>
    <n v="1300"/>
    <n v="1202"/>
    <n v="401"/>
    <s v="North Central"/>
    <x v="0"/>
  </r>
  <r>
    <n v="17"/>
    <s v="Douglas County"/>
    <x v="2"/>
    <n v="2848"/>
    <n v="1425"/>
    <n v="1423"/>
    <n v="1304"/>
    <n v="1269"/>
    <n v="275"/>
    <s v="North Central"/>
    <x v="0"/>
  </r>
  <r>
    <n v="17"/>
    <s v="Douglas County"/>
    <x v="3"/>
    <n v="2893"/>
    <n v="1446"/>
    <n v="1447"/>
    <n v="1352"/>
    <n v="1354"/>
    <n v="187"/>
    <s v="North Central"/>
    <x v="0"/>
  </r>
  <r>
    <n v="17"/>
    <s v="Douglas County"/>
    <x v="4"/>
    <n v="2829"/>
    <n v="1437"/>
    <n v="1392"/>
    <n v="1355"/>
    <n v="1313"/>
    <n v="161"/>
    <s v="North Central"/>
    <x v="0"/>
  </r>
  <r>
    <n v="17"/>
    <s v="Douglas County"/>
    <x v="5"/>
    <n v="2336"/>
    <n v="1186"/>
    <n v="1150"/>
    <n v="1110"/>
    <n v="1040"/>
    <n v="186"/>
    <s v="North Central"/>
    <x v="0"/>
  </r>
  <r>
    <n v="17"/>
    <s v="Douglas County"/>
    <x v="6"/>
    <n v="2321"/>
    <n v="1165"/>
    <n v="1156"/>
    <n v="1093"/>
    <n v="1046"/>
    <n v="182"/>
    <s v="North Central"/>
    <x v="0"/>
  </r>
  <r>
    <n v="17"/>
    <s v="Douglas County"/>
    <x v="7"/>
    <n v="2026"/>
    <n v="988"/>
    <n v="1038"/>
    <n v="936"/>
    <n v="969"/>
    <n v="121"/>
    <s v="North Central"/>
    <x v="0"/>
  </r>
  <r>
    <n v="17"/>
    <s v="Douglas County"/>
    <x v="8"/>
    <n v="2321"/>
    <n v="1164"/>
    <n v="1157"/>
    <n v="1099"/>
    <n v="1084"/>
    <n v="138"/>
    <s v="North Central"/>
    <x v="0"/>
  </r>
  <r>
    <n v="17"/>
    <s v="Douglas County"/>
    <x v="9"/>
    <n v="2263"/>
    <n v="1106"/>
    <n v="1157"/>
    <n v="1060"/>
    <n v="1108"/>
    <n v="95"/>
    <s v="North Central"/>
    <x v="0"/>
  </r>
  <r>
    <n v="17"/>
    <s v="Douglas County"/>
    <x v="10"/>
    <n v="2686"/>
    <n v="1331"/>
    <n v="1355"/>
    <n v="1294"/>
    <n v="1319"/>
    <n v="73"/>
    <s v="North Central"/>
    <x v="0"/>
  </r>
  <r>
    <n v="17"/>
    <s v="Douglas County"/>
    <x v="11"/>
    <n v="2649"/>
    <n v="1285"/>
    <n v="1364"/>
    <n v="1252"/>
    <n v="1323"/>
    <n v="74"/>
    <s v="North Central"/>
    <x v="0"/>
  </r>
  <r>
    <n v="17"/>
    <s v="Douglas County"/>
    <x v="12"/>
    <n v="2465"/>
    <n v="1253"/>
    <n v="1212"/>
    <n v="1218"/>
    <n v="1175"/>
    <n v="72"/>
    <s v="North Central"/>
    <x v="0"/>
  </r>
  <r>
    <n v="17"/>
    <s v="Douglas County"/>
    <x v="13"/>
    <n v="2063"/>
    <n v="1012"/>
    <n v="1051"/>
    <n v="993"/>
    <n v="1025"/>
    <n v="45"/>
    <s v="North Central"/>
    <x v="0"/>
  </r>
  <r>
    <n v="17"/>
    <s v="Douglas County"/>
    <x v="14"/>
    <n v="1641"/>
    <n v="827"/>
    <n v="814"/>
    <n v="809"/>
    <n v="792"/>
    <n v="40"/>
    <s v="North Central"/>
    <x v="0"/>
  </r>
  <r>
    <n v="17"/>
    <s v="Douglas County"/>
    <x v="15"/>
    <n v="1140"/>
    <n v="542"/>
    <n v="598"/>
    <n v="528"/>
    <n v="587"/>
    <n v="25"/>
    <s v="North Central"/>
    <x v="0"/>
  </r>
  <r>
    <n v="17"/>
    <s v="Douglas County"/>
    <x v="16"/>
    <n v="910"/>
    <n v="410"/>
    <n v="500"/>
    <n v="403"/>
    <n v="489"/>
    <n v="18"/>
    <s v="North Central"/>
    <x v="0"/>
  </r>
  <r>
    <n v="17"/>
    <s v="Douglas County"/>
    <x v="17"/>
    <n v="666"/>
    <n v="285"/>
    <n v="381"/>
    <n v="279"/>
    <n v="373"/>
    <n v="14"/>
    <s v="North Central"/>
    <x v="0"/>
  </r>
  <r>
    <n v="17"/>
    <s v="Douglas County"/>
    <x v="18"/>
    <n v="605"/>
    <n v="237"/>
    <n v="368"/>
    <n v="232"/>
    <n v="361"/>
    <n v="12"/>
    <s v="North Central"/>
    <x v="0"/>
  </r>
  <r>
    <n v="19"/>
    <s v="Ferry County"/>
    <x v="0"/>
    <n v="7520"/>
    <n v="3879"/>
    <n v="3641"/>
    <n v="3057"/>
    <n v="2845"/>
    <n v="1618"/>
    <s v="Eastern"/>
    <x v="1"/>
  </r>
  <r>
    <n v="19"/>
    <s v="Ferry County"/>
    <x v="1"/>
    <n v="379"/>
    <n v="192"/>
    <n v="187"/>
    <n v="131"/>
    <n v="123"/>
    <n v="125"/>
    <s v="Eastern"/>
    <x v="1"/>
  </r>
  <r>
    <n v="19"/>
    <s v="Ferry County"/>
    <x v="2"/>
    <n v="431"/>
    <n v="228"/>
    <n v="203"/>
    <n v="151"/>
    <n v="139"/>
    <n v="141"/>
    <s v="Eastern"/>
    <x v="1"/>
  </r>
  <r>
    <n v="19"/>
    <s v="Ferry County"/>
    <x v="3"/>
    <n v="463"/>
    <n v="221"/>
    <n v="242"/>
    <n v="163"/>
    <n v="163"/>
    <n v="137"/>
    <s v="Eastern"/>
    <x v="1"/>
  </r>
  <r>
    <n v="19"/>
    <s v="Ferry County"/>
    <x v="4"/>
    <n v="622"/>
    <n v="380"/>
    <n v="242"/>
    <n v="287"/>
    <n v="172"/>
    <n v="163"/>
    <s v="Eastern"/>
    <x v="1"/>
  </r>
  <r>
    <n v="19"/>
    <s v="Ferry County"/>
    <x v="5"/>
    <n v="401"/>
    <n v="226"/>
    <n v="175"/>
    <n v="170"/>
    <n v="125"/>
    <n v="106"/>
    <s v="Eastern"/>
    <x v="1"/>
  </r>
  <r>
    <n v="19"/>
    <s v="Ferry County"/>
    <x v="6"/>
    <n v="293"/>
    <n v="169"/>
    <n v="124"/>
    <n v="121"/>
    <n v="81"/>
    <n v="91"/>
    <s v="Eastern"/>
    <x v="1"/>
  </r>
  <r>
    <n v="19"/>
    <s v="Ferry County"/>
    <x v="7"/>
    <n v="321"/>
    <n v="159"/>
    <n v="162"/>
    <n v="101"/>
    <n v="119"/>
    <n v="101"/>
    <s v="Eastern"/>
    <x v="1"/>
  </r>
  <r>
    <n v="19"/>
    <s v="Ferry County"/>
    <x v="8"/>
    <n v="344"/>
    <n v="160"/>
    <n v="184"/>
    <n v="118"/>
    <n v="139"/>
    <n v="87"/>
    <s v="Eastern"/>
    <x v="1"/>
  </r>
  <r>
    <n v="19"/>
    <s v="Ferry County"/>
    <x v="9"/>
    <n v="375"/>
    <n v="176"/>
    <n v="199"/>
    <n v="138"/>
    <n v="146"/>
    <n v="91"/>
    <s v="Eastern"/>
    <x v="1"/>
  </r>
  <r>
    <n v="19"/>
    <s v="Ferry County"/>
    <x v="10"/>
    <n v="511"/>
    <n v="250"/>
    <n v="261"/>
    <n v="185"/>
    <n v="208"/>
    <n v="118"/>
    <s v="Eastern"/>
    <x v="1"/>
  </r>
  <r>
    <n v="19"/>
    <s v="Ferry County"/>
    <x v="11"/>
    <n v="662"/>
    <n v="339"/>
    <n v="323"/>
    <n v="287"/>
    <n v="268"/>
    <n v="107"/>
    <s v="Eastern"/>
    <x v="1"/>
  </r>
  <r>
    <n v="19"/>
    <s v="Ferry County"/>
    <x v="12"/>
    <n v="786"/>
    <n v="407"/>
    <n v="379"/>
    <n v="348"/>
    <n v="329"/>
    <n v="109"/>
    <s v="Eastern"/>
    <x v="1"/>
  </r>
  <r>
    <n v="19"/>
    <s v="Ferry County"/>
    <x v="13"/>
    <n v="631"/>
    <n v="317"/>
    <n v="314"/>
    <n v="289"/>
    <n v="275"/>
    <n v="67"/>
    <s v="Eastern"/>
    <x v="1"/>
  </r>
  <r>
    <n v="19"/>
    <s v="Ferry County"/>
    <x v="14"/>
    <n v="531"/>
    <n v="262"/>
    <n v="269"/>
    <n v="233"/>
    <n v="244"/>
    <n v="54"/>
    <s v="Eastern"/>
    <x v="1"/>
  </r>
  <r>
    <n v="19"/>
    <s v="Ferry County"/>
    <x v="15"/>
    <n v="314"/>
    <n v="168"/>
    <n v="146"/>
    <n v="148"/>
    <n v="120"/>
    <n v="46"/>
    <s v="Eastern"/>
    <x v="1"/>
  </r>
  <r>
    <n v="19"/>
    <s v="Ferry County"/>
    <x v="16"/>
    <n v="227"/>
    <n v="119"/>
    <n v="108"/>
    <n v="99"/>
    <n v="94"/>
    <n v="34"/>
    <s v="Eastern"/>
    <x v="1"/>
  </r>
  <r>
    <n v="19"/>
    <s v="Ferry County"/>
    <x v="17"/>
    <n v="117"/>
    <n v="57"/>
    <n v="60"/>
    <n v="47"/>
    <n v="45"/>
    <n v="25"/>
    <s v="Eastern"/>
    <x v="1"/>
  </r>
  <r>
    <n v="19"/>
    <s v="Ferry County"/>
    <x v="18"/>
    <n v="112"/>
    <n v="49"/>
    <n v="63"/>
    <n v="41"/>
    <n v="55"/>
    <n v="16"/>
    <s v="Eastern"/>
    <x v="1"/>
  </r>
  <r>
    <n v="21"/>
    <s v="Franklin County"/>
    <x v="0"/>
    <n v="77355"/>
    <n v="40703"/>
    <n v="36652"/>
    <n v="37738"/>
    <n v="33898"/>
    <n v="5719"/>
    <s v="Benton-Franklin"/>
    <x v="2"/>
  </r>
  <r>
    <n v="21"/>
    <s v="Franklin County"/>
    <x v="1"/>
    <n v="8867"/>
    <n v="4487"/>
    <n v="4380"/>
    <n v="4015"/>
    <n v="3921"/>
    <n v="931"/>
    <s v="Benton-Franklin"/>
    <x v="2"/>
  </r>
  <r>
    <n v="21"/>
    <s v="Franklin County"/>
    <x v="2"/>
    <n v="7983"/>
    <n v="4208"/>
    <n v="3775"/>
    <n v="3821"/>
    <n v="3401"/>
    <n v="761"/>
    <s v="Benton-Franklin"/>
    <x v="2"/>
  </r>
  <r>
    <n v="21"/>
    <s v="Franklin County"/>
    <x v="3"/>
    <n v="6497"/>
    <n v="3339"/>
    <n v="3158"/>
    <n v="3119"/>
    <n v="2942"/>
    <n v="436"/>
    <s v="Benton-Franklin"/>
    <x v="2"/>
  </r>
  <r>
    <n v="21"/>
    <s v="Franklin County"/>
    <x v="4"/>
    <n v="5878"/>
    <n v="3164"/>
    <n v="2714"/>
    <n v="2967"/>
    <n v="2529"/>
    <n v="382"/>
    <s v="Benton-Franklin"/>
    <x v="2"/>
  </r>
  <r>
    <n v="21"/>
    <s v="Franklin County"/>
    <x v="5"/>
    <n v="5485"/>
    <n v="3040"/>
    <n v="2445"/>
    <n v="2817"/>
    <n v="2260"/>
    <n v="408"/>
    <s v="Benton-Franklin"/>
    <x v="2"/>
  </r>
  <r>
    <n v="21"/>
    <s v="Franklin County"/>
    <x v="6"/>
    <n v="6502"/>
    <n v="3577"/>
    <n v="2925"/>
    <n v="3319"/>
    <n v="2729"/>
    <n v="454"/>
    <s v="Benton-Franklin"/>
    <x v="2"/>
  </r>
  <r>
    <n v="21"/>
    <s v="Franklin County"/>
    <x v="7"/>
    <n v="6183"/>
    <n v="3379"/>
    <n v="2804"/>
    <n v="3166"/>
    <n v="2615"/>
    <n v="402"/>
    <s v="Benton-Franklin"/>
    <x v="2"/>
  </r>
  <r>
    <n v="21"/>
    <s v="Franklin County"/>
    <x v="8"/>
    <n v="5245"/>
    <n v="2883"/>
    <n v="2362"/>
    <n v="2655"/>
    <n v="2227"/>
    <n v="363"/>
    <s v="Benton-Franklin"/>
    <x v="2"/>
  </r>
  <r>
    <n v="21"/>
    <s v="Franklin County"/>
    <x v="9"/>
    <n v="4410"/>
    <n v="2363"/>
    <n v="2047"/>
    <n v="2209"/>
    <n v="1918"/>
    <n v="283"/>
    <s v="Benton-Franklin"/>
    <x v="2"/>
  </r>
  <r>
    <n v="21"/>
    <s v="Franklin County"/>
    <x v="10"/>
    <n v="4284"/>
    <n v="2192"/>
    <n v="2092"/>
    <n v="2067"/>
    <n v="1931"/>
    <n v="286"/>
    <s v="Benton-Franklin"/>
    <x v="2"/>
  </r>
  <r>
    <n v="21"/>
    <s v="Franklin County"/>
    <x v="11"/>
    <n v="4179"/>
    <n v="2232"/>
    <n v="1947"/>
    <n v="2063"/>
    <n v="1810"/>
    <n v="306"/>
    <s v="Benton-Franklin"/>
    <x v="2"/>
  </r>
  <r>
    <n v="21"/>
    <s v="Franklin County"/>
    <x v="12"/>
    <n v="3552"/>
    <n v="1810"/>
    <n v="1742"/>
    <n v="1720"/>
    <n v="1646"/>
    <n v="186"/>
    <s v="Benton-Franklin"/>
    <x v="2"/>
  </r>
  <r>
    <n v="21"/>
    <s v="Franklin County"/>
    <x v="13"/>
    <n v="2773"/>
    <n v="1409"/>
    <n v="1364"/>
    <n v="1350"/>
    <n v="1280"/>
    <n v="143"/>
    <s v="Benton-Franklin"/>
    <x v="2"/>
  </r>
  <r>
    <n v="21"/>
    <s v="Franklin County"/>
    <x v="14"/>
    <n v="1845"/>
    <n v="926"/>
    <n v="919"/>
    <n v="864"/>
    <n v="861"/>
    <n v="120"/>
    <s v="Benton-Franklin"/>
    <x v="2"/>
  </r>
  <r>
    <n v="21"/>
    <s v="Franklin County"/>
    <x v="15"/>
    <n v="1345"/>
    <n v="679"/>
    <n v="666"/>
    <n v="635"/>
    <n v="614"/>
    <n v="96"/>
    <s v="Benton-Franklin"/>
    <x v="2"/>
  </r>
  <r>
    <n v="21"/>
    <s v="Franklin County"/>
    <x v="16"/>
    <n v="1001"/>
    <n v="441"/>
    <n v="560"/>
    <n v="416"/>
    <n v="525"/>
    <n v="60"/>
    <s v="Benton-Franklin"/>
    <x v="2"/>
  </r>
  <r>
    <n v="21"/>
    <s v="Franklin County"/>
    <x v="17"/>
    <n v="738"/>
    <n v="330"/>
    <n v="408"/>
    <n v="308"/>
    <n v="371"/>
    <n v="59"/>
    <s v="Benton-Franklin"/>
    <x v="2"/>
  </r>
  <r>
    <n v="21"/>
    <s v="Franklin County"/>
    <x v="18"/>
    <n v="588"/>
    <n v="244"/>
    <n v="344"/>
    <n v="227"/>
    <n v="318"/>
    <n v="43"/>
    <s v="Benton-Franklin"/>
    <x v="2"/>
  </r>
  <r>
    <n v="23"/>
    <s v="Garfield County"/>
    <x v="0"/>
    <n v="2101"/>
    <n v="1053"/>
    <n v="1048"/>
    <n v="1021"/>
    <n v="1021"/>
    <n v="59"/>
    <s v="Eastern"/>
    <x v="1"/>
  </r>
  <r>
    <n v="23"/>
    <s v="Garfield County"/>
    <x v="1"/>
    <n v="90"/>
    <n v="52"/>
    <n v="38"/>
    <n v="46"/>
    <n v="35"/>
    <n v="9"/>
    <s v="Eastern"/>
    <x v="1"/>
  </r>
  <r>
    <n v="23"/>
    <s v="Garfield County"/>
    <x v="2"/>
    <n v="102"/>
    <n v="55"/>
    <n v="47"/>
    <n v="54"/>
    <n v="47"/>
    <n v="1"/>
    <s v="Eastern"/>
    <x v="1"/>
  </r>
  <r>
    <n v="23"/>
    <s v="Garfield County"/>
    <x v="3"/>
    <n v="110"/>
    <n v="56"/>
    <n v="54"/>
    <n v="54"/>
    <n v="54"/>
    <n v="2"/>
    <s v="Eastern"/>
    <x v="1"/>
  </r>
  <r>
    <n v="23"/>
    <s v="Garfield County"/>
    <x v="4"/>
    <n v="142"/>
    <n v="74"/>
    <n v="68"/>
    <n v="69"/>
    <n v="64"/>
    <n v="9"/>
    <s v="Eastern"/>
    <x v="1"/>
  </r>
  <r>
    <n v="23"/>
    <s v="Garfield County"/>
    <x v="5"/>
    <n v="86"/>
    <n v="57"/>
    <n v="29"/>
    <n v="48"/>
    <n v="23"/>
    <n v="15"/>
    <s v="Eastern"/>
    <x v="1"/>
  </r>
  <r>
    <n v="23"/>
    <s v="Garfield County"/>
    <x v="6"/>
    <n v="112"/>
    <n v="62"/>
    <n v="50"/>
    <n v="60"/>
    <n v="49"/>
    <n v="3"/>
    <s v="Eastern"/>
    <x v="1"/>
  </r>
  <r>
    <n v="23"/>
    <s v="Garfield County"/>
    <x v="7"/>
    <n v="69"/>
    <n v="34"/>
    <n v="35"/>
    <n v="34"/>
    <n v="33"/>
    <n v="2"/>
    <s v="Eastern"/>
    <x v="1"/>
  </r>
  <r>
    <n v="23"/>
    <s v="Garfield County"/>
    <x v="8"/>
    <n v="91"/>
    <n v="49"/>
    <n v="42"/>
    <n v="49"/>
    <n v="42"/>
    <n v="0"/>
    <s v="Eastern"/>
    <x v="1"/>
  </r>
  <r>
    <n v="23"/>
    <s v="Garfield County"/>
    <x v="9"/>
    <n v="97"/>
    <n v="41"/>
    <n v="56"/>
    <n v="40"/>
    <n v="56"/>
    <n v="1"/>
    <s v="Eastern"/>
    <x v="1"/>
  </r>
  <r>
    <n v="23"/>
    <s v="Garfield County"/>
    <x v="10"/>
    <n v="146"/>
    <n v="71"/>
    <n v="75"/>
    <n v="70"/>
    <n v="71"/>
    <n v="5"/>
    <s v="Eastern"/>
    <x v="1"/>
  </r>
  <r>
    <n v="23"/>
    <s v="Garfield County"/>
    <x v="11"/>
    <n v="175"/>
    <n v="92"/>
    <n v="83"/>
    <n v="90"/>
    <n v="81"/>
    <n v="4"/>
    <s v="Eastern"/>
    <x v="1"/>
  </r>
  <r>
    <n v="23"/>
    <s v="Garfield County"/>
    <x v="12"/>
    <n v="189"/>
    <n v="95"/>
    <n v="94"/>
    <n v="95"/>
    <n v="92"/>
    <n v="2"/>
    <s v="Eastern"/>
    <x v="1"/>
  </r>
  <r>
    <n v="23"/>
    <s v="Garfield County"/>
    <x v="13"/>
    <n v="181"/>
    <n v="92"/>
    <n v="89"/>
    <n v="91"/>
    <n v="89"/>
    <n v="1"/>
    <s v="Eastern"/>
    <x v="1"/>
  </r>
  <r>
    <n v="23"/>
    <s v="Garfield County"/>
    <x v="14"/>
    <n v="92"/>
    <n v="44"/>
    <n v="48"/>
    <n v="44"/>
    <n v="47"/>
    <n v="1"/>
    <s v="Eastern"/>
    <x v="1"/>
  </r>
  <r>
    <n v="23"/>
    <s v="Garfield County"/>
    <x v="15"/>
    <n v="123"/>
    <n v="56"/>
    <n v="67"/>
    <n v="56"/>
    <n v="67"/>
    <n v="0"/>
    <s v="Eastern"/>
    <x v="1"/>
  </r>
  <r>
    <n v="23"/>
    <s v="Garfield County"/>
    <x v="16"/>
    <n v="126"/>
    <n v="53"/>
    <n v="73"/>
    <n v="52"/>
    <n v="72"/>
    <n v="2"/>
    <s v="Eastern"/>
    <x v="1"/>
  </r>
  <r>
    <n v="23"/>
    <s v="Garfield County"/>
    <x v="17"/>
    <n v="71"/>
    <n v="31"/>
    <n v="40"/>
    <n v="31"/>
    <n v="40"/>
    <n v="0"/>
    <s v="Eastern"/>
    <x v="1"/>
  </r>
  <r>
    <n v="23"/>
    <s v="Garfield County"/>
    <x v="18"/>
    <n v="99"/>
    <n v="39"/>
    <n v="60"/>
    <n v="38"/>
    <n v="59"/>
    <n v="2"/>
    <s v="Eastern"/>
    <x v="1"/>
  </r>
  <r>
    <n v="25"/>
    <s v="Grant County"/>
    <x v="0"/>
    <n v="88098"/>
    <n v="45301"/>
    <n v="42797"/>
    <n v="42664"/>
    <n v="40370"/>
    <n v="5064"/>
    <s v="North Central"/>
    <x v="0"/>
  </r>
  <r>
    <n v="25"/>
    <s v="Grant County"/>
    <x v="1"/>
    <n v="8333"/>
    <n v="4283"/>
    <n v="4050"/>
    <n v="3857"/>
    <n v="3670"/>
    <n v="806"/>
    <s v="North Central"/>
    <x v="0"/>
  </r>
  <r>
    <n v="25"/>
    <s v="Grant County"/>
    <x v="2"/>
    <n v="7553"/>
    <n v="3826"/>
    <n v="3727"/>
    <n v="3530"/>
    <n v="3509"/>
    <n v="514"/>
    <s v="North Central"/>
    <x v="0"/>
  </r>
  <r>
    <n v="25"/>
    <s v="Grant County"/>
    <x v="3"/>
    <n v="7037"/>
    <n v="3617"/>
    <n v="3420"/>
    <n v="3429"/>
    <n v="3209"/>
    <n v="399"/>
    <s v="North Central"/>
    <x v="0"/>
  </r>
  <r>
    <n v="25"/>
    <s v="Grant County"/>
    <x v="4"/>
    <n v="7167"/>
    <n v="3850"/>
    <n v="3317"/>
    <n v="3596"/>
    <n v="3113"/>
    <n v="458"/>
    <s v="North Central"/>
    <x v="0"/>
  </r>
  <r>
    <n v="25"/>
    <s v="Grant County"/>
    <x v="5"/>
    <n v="6072"/>
    <n v="3297"/>
    <n v="2775"/>
    <n v="3091"/>
    <n v="2620"/>
    <n v="361"/>
    <s v="North Central"/>
    <x v="0"/>
  </r>
  <r>
    <n v="25"/>
    <s v="Grant County"/>
    <x v="6"/>
    <n v="5937"/>
    <n v="3230"/>
    <n v="2707"/>
    <n v="3057"/>
    <n v="2576"/>
    <n v="304"/>
    <s v="North Central"/>
    <x v="0"/>
  </r>
  <r>
    <n v="25"/>
    <s v="Grant County"/>
    <x v="7"/>
    <n v="5326"/>
    <n v="2838"/>
    <n v="2488"/>
    <n v="2651"/>
    <n v="2334"/>
    <n v="341"/>
    <s v="North Central"/>
    <x v="0"/>
  </r>
  <r>
    <n v="25"/>
    <s v="Grant County"/>
    <x v="8"/>
    <n v="5368"/>
    <n v="2788"/>
    <n v="2580"/>
    <n v="2660"/>
    <n v="2426"/>
    <n v="282"/>
    <s v="North Central"/>
    <x v="0"/>
  </r>
  <r>
    <n v="25"/>
    <s v="Grant County"/>
    <x v="9"/>
    <n v="5270"/>
    <n v="2704"/>
    <n v="2566"/>
    <n v="2587"/>
    <n v="2425"/>
    <n v="258"/>
    <s v="North Central"/>
    <x v="0"/>
  </r>
  <r>
    <n v="25"/>
    <s v="Grant County"/>
    <x v="10"/>
    <n v="5476"/>
    <n v="2834"/>
    <n v="2642"/>
    <n v="2677"/>
    <n v="2519"/>
    <n v="280"/>
    <s v="North Central"/>
    <x v="0"/>
  </r>
  <r>
    <n v="25"/>
    <s v="Grant County"/>
    <x v="11"/>
    <n v="5387"/>
    <n v="2743"/>
    <n v="2644"/>
    <n v="2594"/>
    <n v="2495"/>
    <n v="298"/>
    <s v="North Central"/>
    <x v="0"/>
  </r>
  <r>
    <n v="25"/>
    <s v="Grant County"/>
    <x v="12"/>
    <n v="4892"/>
    <n v="2495"/>
    <n v="2397"/>
    <n v="2390"/>
    <n v="2286"/>
    <n v="216"/>
    <s v="North Central"/>
    <x v="0"/>
  </r>
  <r>
    <n v="25"/>
    <s v="Grant County"/>
    <x v="13"/>
    <n v="4187"/>
    <n v="2124"/>
    <n v="2063"/>
    <n v="2042"/>
    <n v="1985"/>
    <n v="160"/>
    <s v="North Central"/>
    <x v="0"/>
  </r>
  <r>
    <n v="25"/>
    <s v="Grant County"/>
    <x v="14"/>
    <n v="3223"/>
    <n v="1609"/>
    <n v="1614"/>
    <n v="1561"/>
    <n v="1562"/>
    <n v="100"/>
    <s v="North Central"/>
    <x v="0"/>
  </r>
  <r>
    <n v="25"/>
    <s v="Grant County"/>
    <x v="15"/>
    <n v="2242"/>
    <n v="1054"/>
    <n v="1188"/>
    <n v="1017"/>
    <n v="1139"/>
    <n v="86"/>
    <s v="North Central"/>
    <x v="0"/>
  </r>
  <r>
    <n v="25"/>
    <s v="Grant County"/>
    <x v="16"/>
    <n v="1944"/>
    <n v="892"/>
    <n v="1052"/>
    <n v="853"/>
    <n v="1007"/>
    <n v="84"/>
    <s v="North Central"/>
    <x v="0"/>
  </r>
  <r>
    <n v="25"/>
    <s v="Grant County"/>
    <x v="17"/>
    <n v="1449"/>
    <n v="629"/>
    <n v="820"/>
    <n v="603"/>
    <n v="775"/>
    <n v="71"/>
    <s v="North Central"/>
    <x v="0"/>
  </r>
  <r>
    <n v="25"/>
    <s v="Grant County"/>
    <x v="18"/>
    <n v="1235"/>
    <n v="488"/>
    <n v="747"/>
    <n v="469"/>
    <n v="720"/>
    <n v="46"/>
    <s v="North Central"/>
    <x v="0"/>
  </r>
  <r>
    <n v="27"/>
    <s v="Grays Harbor County"/>
    <x v="0"/>
    <n v="71797"/>
    <n v="36476"/>
    <n v="35321"/>
    <n v="32611"/>
    <n v="31714"/>
    <n v="7472"/>
    <s v="PacMtn"/>
    <x v="5"/>
  </r>
  <r>
    <n v="27"/>
    <s v="Grays Harbor County"/>
    <x v="1"/>
    <n v="4558"/>
    <n v="2315"/>
    <n v="2243"/>
    <n v="1890"/>
    <n v="1831"/>
    <n v="837"/>
    <s v="PacMtn"/>
    <x v="5"/>
  </r>
  <r>
    <n v="27"/>
    <s v="Grays Harbor County"/>
    <x v="2"/>
    <n v="4223"/>
    <n v="2107"/>
    <n v="2116"/>
    <n v="1784"/>
    <n v="1798"/>
    <n v="641"/>
    <s v="PacMtn"/>
    <x v="5"/>
  </r>
  <r>
    <n v="27"/>
    <s v="Grays Harbor County"/>
    <x v="3"/>
    <n v="4430"/>
    <n v="2276"/>
    <n v="2154"/>
    <n v="1972"/>
    <n v="1841"/>
    <n v="617"/>
    <s v="PacMtn"/>
    <x v="5"/>
  </r>
  <r>
    <n v="27"/>
    <s v="Grays Harbor County"/>
    <x v="4"/>
    <n v="4748"/>
    <n v="2598"/>
    <n v="2150"/>
    <n v="2222"/>
    <n v="1871"/>
    <n v="655"/>
    <s v="PacMtn"/>
    <x v="5"/>
  </r>
  <r>
    <n v="27"/>
    <s v="Grays Harbor County"/>
    <x v="5"/>
    <n v="4432"/>
    <n v="2414"/>
    <n v="2018"/>
    <n v="2032"/>
    <n v="1724"/>
    <n v="676"/>
    <s v="PacMtn"/>
    <x v="5"/>
  </r>
  <r>
    <n v="27"/>
    <s v="Grays Harbor County"/>
    <x v="6"/>
    <n v="4577"/>
    <n v="2569"/>
    <n v="2008"/>
    <n v="2250"/>
    <n v="1763"/>
    <n v="564"/>
    <s v="PacMtn"/>
    <x v="5"/>
  </r>
  <r>
    <n v="27"/>
    <s v="Grays Harbor County"/>
    <x v="7"/>
    <n v="4213"/>
    <n v="2386"/>
    <n v="1827"/>
    <n v="2069"/>
    <n v="1647"/>
    <n v="497"/>
    <s v="PacMtn"/>
    <x v="5"/>
  </r>
  <r>
    <n v="27"/>
    <s v="Grays Harbor County"/>
    <x v="8"/>
    <n v="4235"/>
    <n v="2277"/>
    <n v="1958"/>
    <n v="2022"/>
    <n v="1758"/>
    <n v="455"/>
    <s v="PacMtn"/>
    <x v="5"/>
  </r>
  <r>
    <n v="27"/>
    <s v="Grays Harbor County"/>
    <x v="9"/>
    <n v="4434"/>
    <n v="2274"/>
    <n v="2160"/>
    <n v="2108"/>
    <n v="1921"/>
    <n v="405"/>
    <s v="PacMtn"/>
    <x v="5"/>
  </r>
  <r>
    <n v="27"/>
    <s v="Grays Harbor County"/>
    <x v="10"/>
    <n v="4953"/>
    <n v="2426"/>
    <n v="2527"/>
    <n v="2215"/>
    <n v="2286"/>
    <n v="452"/>
    <s v="PacMtn"/>
    <x v="5"/>
  </r>
  <r>
    <n v="27"/>
    <s v="Grays Harbor County"/>
    <x v="11"/>
    <n v="5512"/>
    <n v="2713"/>
    <n v="2799"/>
    <n v="2506"/>
    <n v="2582"/>
    <n v="424"/>
    <s v="PacMtn"/>
    <x v="5"/>
  </r>
  <r>
    <n v="27"/>
    <s v="Grays Harbor County"/>
    <x v="12"/>
    <n v="5351"/>
    <n v="2712"/>
    <n v="2639"/>
    <n v="2558"/>
    <n v="2462"/>
    <n v="331"/>
    <s v="PacMtn"/>
    <x v="5"/>
  </r>
  <r>
    <n v="27"/>
    <s v="Grays Harbor County"/>
    <x v="13"/>
    <n v="4776"/>
    <n v="2340"/>
    <n v="2436"/>
    <n v="2192"/>
    <n v="2281"/>
    <n v="303"/>
    <s v="PacMtn"/>
    <x v="5"/>
  </r>
  <r>
    <n v="27"/>
    <s v="Grays Harbor County"/>
    <x v="14"/>
    <n v="3786"/>
    <n v="1814"/>
    <n v="1972"/>
    <n v="1698"/>
    <n v="1839"/>
    <n v="249"/>
    <s v="PacMtn"/>
    <x v="5"/>
  </r>
  <r>
    <n v="27"/>
    <s v="Grays Harbor County"/>
    <x v="15"/>
    <n v="2734"/>
    <n v="1264"/>
    <n v="1470"/>
    <n v="1196"/>
    <n v="1390"/>
    <n v="148"/>
    <s v="PacMtn"/>
    <x v="5"/>
  </r>
  <r>
    <n v="27"/>
    <s v="Grays Harbor County"/>
    <x v="16"/>
    <n v="1970"/>
    <n v="883"/>
    <n v="1087"/>
    <n v="836"/>
    <n v="1026"/>
    <n v="108"/>
    <s v="PacMtn"/>
    <x v="5"/>
  </r>
  <r>
    <n v="27"/>
    <s v="Grays Harbor County"/>
    <x v="17"/>
    <n v="1514"/>
    <n v="632"/>
    <n v="882"/>
    <n v="602"/>
    <n v="846"/>
    <n v="66"/>
    <s v="PacMtn"/>
    <x v="5"/>
  </r>
  <r>
    <n v="27"/>
    <s v="Grays Harbor County"/>
    <x v="18"/>
    <n v="1351"/>
    <n v="476"/>
    <n v="875"/>
    <n v="459"/>
    <n v="848"/>
    <n v="44"/>
    <s v="PacMtn"/>
    <x v="5"/>
  </r>
  <r>
    <n v="29"/>
    <s v="Island County"/>
    <x v="0"/>
    <n v="81054"/>
    <n v="39858"/>
    <n v="41196"/>
    <n v="36024"/>
    <n v="36692"/>
    <n v="8338"/>
    <s v="Northwest"/>
    <x v="6"/>
  </r>
  <r>
    <n v="29"/>
    <s v="Island County"/>
    <x v="1"/>
    <n v="4551"/>
    <n v="2296"/>
    <n v="2255"/>
    <n v="1891"/>
    <n v="1826"/>
    <n v="834"/>
    <s v="Northwest"/>
    <x v="6"/>
  </r>
  <r>
    <n v="29"/>
    <s v="Island County"/>
    <x v="2"/>
    <n v="3951"/>
    <n v="1999"/>
    <n v="1952"/>
    <n v="1728"/>
    <n v="1666"/>
    <n v="557"/>
    <s v="Northwest"/>
    <x v="6"/>
  </r>
  <r>
    <n v="29"/>
    <s v="Island County"/>
    <x v="3"/>
    <n v="4542"/>
    <n v="2352"/>
    <n v="2190"/>
    <n v="2000"/>
    <n v="1859"/>
    <n v="683"/>
    <s v="Northwest"/>
    <x v="6"/>
  </r>
  <r>
    <n v="29"/>
    <s v="Island County"/>
    <x v="4"/>
    <n v="4771"/>
    <n v="2568"/>
    <n v="2203"/>
    <n v="2180"/>
    <n v="1859"/>
    <n v="732"/>
    <s v="Northwest"/>
    <x v="6"/>
  </r>
  <r>
    <n v="29"/>
    <s v="Island County"/>
    <x v="5"/>
    <n v="6504"/>
    <n v="3575"/>
    <n v="2929"/>
    <n v="3021"/>
    <n v="2548"/>
    <n v="935"/>
    <s v="Northwest"/>
    <x v="6"/>
  </r>
  <r>
    <n v="29"/>
    <s v="Island County"/>
    <x v="6"/>
    <n v="4849"/>
    <n v="2419"/>
    <n v="2430"/>
    <n v="2191"/>
    <n v="2216"/>
    <n v="442"/>
    <s v="Northwest"/>
    <x v="6"/>
  </r>
  <r>
    <n v="29"/>
    <s v="Island County"/>
    <x v="7"/>
    <n v="3101"/>
    <n v="1534"/>
    <n v="1567"/>
    <n v="1370"/>
    <n v="1396"/>
    <n v="335"/>
    <s v="Northwest"/>
    <x v="6"/>
  </r>
  <r>
    <n v="29"/>
    <s v="Island County"/>
    <x v="8"/>
    <n v="3891"/>
    <n v="2012"/>
    <n v="1879"/>
    <n v="1823"/>
    <n v="1655"/>
    <n v="413"/>
    <s v="Northwest"/>
    <x v="6"/>
  </r>
  <r>
    <n v="29"/>
    <s v="Island County"/>
    <x v="9"/>
    <n v="4298"/>
    <n v="2116"/>
    <n v="2182"/>
    <n v="1944"/>
    <n v="1862"/>
    <n v="492"/>
    <s v="Northwest"/>
    <x v="6"/>
  </r>
  <r>
    <n v="29"/>
    <s v="Island County"/>
    <x v="10"/>
    <n v="5441"/>
    <n v="2672"/>
    <n v="2769"/>
    <n v="2430"/>
    <n v="2393"/>
    <n v="618"/>
    <s v="Northwest"/>
    <x v="6"/>
  </r>
  <r>
    <n v="29"/>
    <s v="Island County"/>
    <x v="11"/>
    <n v="5829"/>
    <n v="2775"/>
    <n v="3054"/>
    <n v="2545"/>
    <n v="2696"/>
    <n v="588"/>
    <s v="Northwest"/>
    <x v="6"/>
  </r>
  <r>
    <n v="29"/>
    <s v="Island County"/>
    <x v="12"/>
    <n v="6250"/>
    <n v="2945"/>
    <n v="3305"/>
    <n v="2776"/>
    <n v="3022"/>
    <n v="452"/>
    <s v="Northwest"/>
    <x v="6"/>
  </r>
  <r>
    <n v="29"/>
    <s v="Island County"/>
    <x v="13"/>
    <n v="6078"/>
    <n v="2827"/>
    <n v="3251"/>
    <n v="2696"/>
    <n v="3008"/>
    <n v="374"/>
    <s v="Northwest"/>
    <x v="6"/>
  </r>
  <r>
    <n v="29"/>
    <s v="Island County"/>
    <x v="14"/>
    <n v="5535"/>
    <n v="2580"/>
    <n v="2955"/>
    <n v="2450"/>
    <n v="2731"/>
    <n v="354"/>
    <s v="Northwest"/>
    <x v="6"/>
  </r>
  <r>
    <n v="29"/>
    <s v="Island County"/>
    <x v="15"/>
    <n v="4322"/>
    <n v="2076"/>
    <n v="2246"/>
    <n v="1958"/>
    <n v="2108"/>
    <n v="256"/>
    <s v="Northwest"/>
    <x v="6"/>
  </r>
  <r>
    <n v="29"/>
    <s v="Island County"/>
    <x v="16"/>
    <n v="3123"/>
    <n v="1375"/>
    <n v="1748"/>
    <n v="1334"/>
    <n v="1650"/>
    <n v="139"/>
    <s v="Northwest"/>
    <x v="6"/>
  </r>
  <r>
    <n v="29"/>
    <s v="Island County"/>
    <x v="17"/>
    <n v="2077"/>
    <n v="940"/>
    <n v="1137"/>
    <n v="911"/>
    <n v="1079"/>
    <n v="87"/>
    <s v="Northwest"/>
    <x v="6"/>
  </r>
  <r>
    <n v="29"/>
    <s v="Island County"/>
    <x v="18"/>
    <n v="1941"/>
    <n v="797"/>
    <n v="1144"/>
    <n v="776"/>
    <n v="1118"/>
    <n v="47"/>
    <s v="Northwest"/>
    <x v="6"/>
  </r>
  <r>
    <n v="31"/>
    <s v="Jefferson County"/>
    <x v="0"/>
    <n v="29676"/>
    <n v="14560"/>
    <n v="15116"/>
    <n v="13483"/>
    <n v="14021"/>
    <n v="2172"/>
    <s v="Olympic"/>
    <x v="3"/>
  </r>
  <r>
    <n v="31"/>
    <s v="Jefferson County"/>
    <x v="1"/>
    <n v="1164"/>
    <n v="594"/>
    <n v="570"/>
    <n v="505"/>
    <n v="476"/>
    <n v="183"/>
    <s v="Olympic"/>
    <x v="3"/>
  </r>
  <r>
    <n v="31"/>
    <s v="Jefferson County"/>
    <x v="2"/>
    <n v="1205"/>
    <n v="582"/>
    <n v="623"/>
    <n v="520"/>
    <n v="532"/>
    <n v="153"/>
    <s v="Olympic"/>
    <x v="3"/>
  </r>
  <r>
    <n v="31"/>
    <s v="Jefferson County"/>
    <x v="3"/>
    <n v="1355"/>
    <n v="676"/>
    <n v="679"/>
    <n v="588"/>
    <n v="588"/>
    <n v="179"/>
    <s v="Olympic"/>
    <x v="3"/>
  </r>
  <r>
    <n v="31"/>
    <s v="Jefferson County"/>
    <x v="4"/>
    <n v="1444"/>
    <n v="751"/>
    <n v="693"/>
    <n v="661"/>
    <n v="606"/>
    <n v="177"/>
    <s v="Olympic"/>
    <x v="3"/>
  </r>
  <r>
    <n v="31"/>
    <s v="Jefferson County"/>
    <x v="5"/>
    <n v="1352"/>
    <n v="731"/>
    <n v="621"/>
    <n v="614"/>
    <n v="538"/>
    <n v="200"/>
    <s v="Olympic"/>
    <x v="3"/>
  </r>
  <r>
    <n v="31"/>
    <s v="Jefferson County"/>
    <x v="6"/>
    <n v="1153"/>
    <n v="651"/>
    <n v="502"/>
    <n v="566"/>
    <n v="438"/>
    <n v="149"/>
    <s v="Olympic"/>
    <x v="3"/>
  </r>
  <r>
    <n v="31"/>
    <s v="Jefferson County"/>
    <x v="7"/>
    <n v="985"/>
    <n v="549"/>
    <n v="436"/>
    <n v="491"/>
    <n v="382"/>
    <n v="112"/>
    <s v="Olympic"/>
    <x v="3"/>
  </r>
  <r>
    <n v="31"/>
    <s v="Jefferson County"/>
    <x v="8"/>
    <n v="1268"/>
    <n v="647"/>
    <n v="621"/>
    <n v="582"/>
    <n v="575"/>
    <n v="111"/>
    <s v="Olympic"/>
    <x v="3"/>
  </r>
  <r>
    <n v="31"/>
    <s v="Jefferson County"/>
    <x v="9"/>
    <n v="1374"/>
    <n v="668"/>
    <n v="706"/>
    <n v="617"/>
    <n v="642"/>
    <n v="115"/>
    <s v="Olympic"/>
    <x v="3"/>
  </r>
  <r>
    <n v="31"/>
    <s v="Jefferson County"/>
    <x v="10"/>
    <n v="1964"/>
    <n v="952"/>
    <n v="1012"/>
    <n v="873"/>
    <n v="953"/>
    <n v="138"/>
    <s v="Olympic"/>
    <x v="3"/>
  </r>
  <r>
    <n v="31"/>
    <s v="Jefferson County"/>
    <x v="11"/>
    <n v="2653"/>
    <n v="1253"/>
    <n v="1400"/>
    <n v="1181"/>
    <n v="1319"/>
    <n v="153"/>
    <s v="Olympic"/>
    <x v="3"/>
  </r>
  <r>
    <n v="31"/>
    <s v="Jefferson County"/>
    <x v="12"/>
    <n v="3004"/>
    <n v="1435"/>
    <n v="1569"/>
    <n v="1364"/>
    <n v="1487"/>
    <n v="153"/>
    <s v="Olympic"/>
    <x v="3"/>
  </r>
  <r>
    <n v="31"/>
    <s v="Jefferson County"/>
    <x v="13"/>
    <n v="3269"/>
    <n v="1550"/>
    <n v="1719"/>
    <n v="1503"/>
    <n v="1660"/>
    <n v="106"/>
    <s v="Olympic"/>
    <x v="3"/>
  </r>
  <r>
    <n v="31"/>
    <s v="Jefferson County"/>
    <x v="14"/>
    <n v="2677"/>
    <n v="1278"/>
    <n v="1399"/>
    <n v="1242"/>
    <n v="1359"/>
    <n v="76"/>
    <s v="Olympic"/>
    <x v="3"/>
  </r>
  <r>
    <n v="31"/>
    <s v="Jefferson County"/>
    <x v="15"/>
    <n v="1760"/>
    <n v="848"/>
    <n v="912"/>
    <n v="830"/>
    <n v="881"/>
    <n v="49"/>
    <s v="Olympic"/>
    <x v="3"/>
  </r>
  <r>
    <n v="31"/>
    <s v="Jefferson County"/>
    <x v="16"/>
    <n v="1245"/>
    <n v="618"/>
    <n v="627"/>
    <n v="600"/>
    <n v="600"/>
    <n v="45"/>
    <s v="Olympic"/>
    <x v="3"/>
  </r>
  <r>
    <n v="31"/>
    <s v="Jefferson County"/>
    <x v="17"/>
    <n v="943"/>
    <n v="429"/>
    <n v="514"/>
    <n v="413"/>
    <n v="493"/>
    <n v="37"/>
    <s v="Olympic"/>
    <x v="3"/>
  </r>
  <r>
    <n v="31"/>
    <s v="Jefferson County"/>
    <x v="18"/>
    <n v="861"/>
    <n v="348"/>
    <n v="513"/>
    <n v="333"/>
    <n v="492"/>
    <n v="36"/>
    <s v="Olympic"/>
    <x v="3"/>
  </r>
  <r>
    <n v="33"/>
    <s v="King County"/>
    <x v="0"/>
    <n v="1916441"/>
    <n v="958922"/>
    <n v="957519"/>
    <n v="717561"/>
    <n v="709294"/>
    <n v="489586"/>
    <s v="King"/>
    <x v="7"/>
  </r>
  <r>
    <n v="33"/>
    <s v="King County"/>
    <x v="1"/>
    <n v="122232"/>
    <n v="62378"/>
    <n v="59854"/>
    <n v="40523"/>
    <n v="38437"/>
    <n v="43272"/>
    <s v="King"/>
    <x v="7"/>
  </r>
  <r>
    <n v="33"/>
    <s v="King County"/>
    <x v="2"/>
    <n v="113826"/>
    <n v="57896"/>
    <n v="55930"/>
    <n v="38622"/>
    <n v="37249"/>
    <n v="37955"/>
    <s v="King"/>
    <x v="7"/>
  </r>
  <r>
    <n v="33"/>
    <s v="King County"/>
    <x v="3"/>
    <n v="105472"/>
    <n v="54142"/>
    <n v="51330"/>
    <n v="37293"/>
    <n v="35247"/>
    <n v="32932"/>
    <s v="King"/>
    <x v="7"/>
  </r>
  <r>
    <n v="33"/>
    <s v="King County"/>
    <x v="4"/>
    <n v="111024"/>
    <n v="57033"/>
    <n v="53991"/>
    <n v="40260"/>
    <n v="37825"/>
    <n v="32939"/>
    <s v="King"/>
    <x v="7"/>
  </r>
  <r>
    <n v="33"/>
    <s v="King County"/>
    <x v="5"/>
    <n v="121232"/>
    <n v="62284"/>
    <n v="58948"/>
    <n v="45069"/>
    <n v="42229"/>
    <n v="33934"/>
    <s v="King"/>
    <x v="7"/>
  </r>
  <r>
    <n v="33"/>
    <s v="King County"/>
    <x v="6"/>
    <n v="167338"/>
    <n v="85644"/>
    <n v="81694"/>
    <n v="62412"/>
    <n v="58387"/>
    <n v="46539"/>
    <s v="King"/>
    <x v="7"/>
  </r>
  <r>
    <n v="33"/>
    <s v="King County"/>
    <x v="7"/>
    <n v="160285"/>
    <n v="81363"/>
    <n v="78922"/>
    <n v="59211"/>
    <n v="55732"/>
    <n v="45342"/>
    <s v="King"/>
    <x v="7"/>
  </r>
  <r>
    <n v="33"/>
    <s v="King County"/>
    <x v="8"/>
    <n v="151802"/>
    <n v="78120"/>
    <n v="73682"/>
    <n v="57316"/>
    <n v="52416"/>
    <n v="42070"/>
    <s v="King"/>
    <x v="7"/>
  </r>
  <r>
    <n v="33"/>
    <s v="King County"/>
    <x v="9"/>
    <n v="145446"/>
    <n v="75004"/>
    <n v="70442"/>
    <n v="57640"/>
    <n v="52796"/>
    <n v="35010"/>
    <s v="King"/>
    <x v="7"/>
  </r>
  <r>
    <n v="33"/>
    <s v="King County"/>
    <x v="10"/>
    <n v="149964"/>
    <n v="75904"/>
    <n v="74060"/>
    <n v="59800"/>
    <n v="57406"/>
    <n v="32758"/>
    <s v="King"/>
    <x v="7"/>
  </r>
  <r>
    <n v="33"/>
    <s v="King County"/>
    <x v="11"/>
    <n v="143272"/>
    <n v="71698"/>
    <n v="71574"/>
    <n v="57670"/>
    <n v="57013"/>
    <n v="28589"/>
    <s v="King"/>
    <x v="7"/>
  </r>
  <r>
    <n v="33"/>
    <s v="King County"/>
    <x v="12"/>
    <n v="123240"/>
    <n v="60639"/>
    <n v="62601"/>
    <n v="49192"/>
    <n v="50238"/>
    <n v="23810"/>
    <s v="King"/>
    <x v="7"/>
  </r>
  <r>
    <n v="33"/>
    <s v="King County"/>
    <x v="13"/>
    <n v="96306"/>
    <n v="47107"/>
    <n v="49199"/>
    <n v="38755"/>
    <n v="39954"/>
    <n v="17597"/>
    <s v="King"/>
    <x v="7"/>
  </r>
  <r>
    <n v="33"/>
    <s v="King County"/>
    <x v="14"/>
    <n v="62414"/>
    <n v="30527"/>
    <n v="31887"/>
    <n v="24872"/>
    <n v="25533"/>
    <n v="12009"/>
    <s v="King"/>
    <x v="7"/>
  </r>
  <r>
    <n v="33"/>
    <s v="King County"/>
    <x v="15"/>
    <n v="43428"/>
    <n v="20492"/>
    <n v="22936"/>
    <n v="16281"/>
    <n v="18069"/>
    <n v="9078"/>
    <s v="King"/>
    <x v="7"/>
  </r>
  <r>
    <n v="33"/>
    <s v="King County"/>
    <x v="16"/>
    <n v="35614"/>
    <n v="15860"/>
    <n v="19754"/>
    <n v="13117"/>
    <n v="15961"/>
    <n v="6536"/>
    <s v="King"/>
    <x v="7"/>
  </r>
  <r>
    <n v="33"/>
    <s v="King County"/>
    <x v="17"/>
    <n v="30094"/>
    <n v="11970"/>
    <n v="18124"/>
    <n v="10161"/>
    <n v="15080"/>
    <n v="4853"/>
    <s v="King"/>
    <x v="7"/>
  </r>
  <r>
    <n v="33"/>
    <s v="King County"/>
    <x v="18"/>
    <n v="33452"/>
    <n v="10861"/>
    <n v="22591"/>
    <n v="9367"/>
    <n v="19722"/>
    <n v="4363"/>
    <s v="King"/>
    <x v="7"/>
  </r>
  <r>
    <n v="35"/>
    <s v="Kitsap County"/>
    <x v="0"/>
    <n v="240862"/>
    <n v="121651"/>
    <n v="119211"/>
    <n v="104806"/>
    <n v="101415"/>
    <n v="34641"/>
    <s v="Olympic"/>
    <x v="3"/>
  </r>
  <r>
    <n v="35"/>
    <s v="Kitsap County"/>
    <x v="1"/>
    <n v="14708"/>
    <n v="7423"/>
    <n v="7285"/>
    <n v="5816"/>
    <n v="5743"/>
    <n v="3149"/>
    <s v="Olympic"/>
    <x v="3"/>
  </r>
  <r>
    <n v="35"/>
    <s v="Kitsap County"/>
    <x v="2"/>
    <n v="14360"/>
    <n v="7381"/>
    <n v="6979"/>
    <n v="5917"/>
    <n v="5603"/>
    <n v="2840"/>
    <s v="Olympic"/>
    <x v="3"/>
  </r>
  <r>
    <n v="35"/>
    <s v="Kitsap County"/>
    <x v="3"/>
    <n v="15351"/>
    <n v="8019"/>
    <n v="7332"/>
    <n v="6497"/>
    <n v="5899"/>
    <n v="2955"/>
    <s v="Olympic"/>
    <x v="3"/>
  </r>
  <r>
    <n v="35"/>
    <s v="Kitsap County"/>
    <x v="4"/>
    <n v="16624"/>
    <n v="8748"/>
    <n v="7876"/>
    <n v="7155"/>
    <n v="6394"/>
    <n v="3075"/>
    <s v="Olympic"/>
    <x v="3"/>
  </r>
  <r>
    <n v="35"/>
    <s v="Kitsap County"/>
    <x v="5"/>
    <n v="18422"/>
    <n v="10345"/>
    <n v="8077"/>
    <n v="8441"/>
    <n v="6551"/>
    <n v="3430"/>
    <s v="Olympic"/>
    <x v="3"/>
  </r>
  <r>
    <n v="35"/>
    <s v="Kitsap County"/>
    <x v="6"/>
    <n v="15189"/>
    <n v="8042"/>
    <n v="7147"/>
    <n v="6858"/>
    <n v="6078"/>
    <n v="2253"/>
    <s v="Olympic"/>
    <x v="3"/>
  </r>
  <r>
    <n v="35"/>
    <s v="Kitsap County"/>
    <x v="7"/>
    <n v="11694"/>
    <n v="6234"/>
    <n v="5460"/>
    <n v="5326"/>
    <n v="4608"/>
    <n v="1760"/>
    <s v="Olympic"/>
    <x v="3"/>
  </r>
  <r>
    <n v="35"/>
    <s v="Kitsap County"/>
    <x v="8"/>
    <n v="14460"/>
    <n v="7489"/>
    <n v="6971"/>
    <n v="6418"/>
    <n v="5925"/>
    <n v="2117"/>
    <s v="Olympic"/>
    <x v="3"/>
  </r>
  <r>
    <n v="35"/>
    <s v="Kitsap County"/>
    <x v="9"/>
    <n v="15808"/>
    <n v="7904"/>
    <n v="7904"/>
    <n v="6933"/>
    <n v="6716"/>
    <n v="2159"/>
    <s v="Olympic"/>
    <x v="3"/>
  </r>
  <r>
    <n v="35"/>
    <s v="Kitsap County"/>
    <x v="10"/>
    <n v="18830"/>
    <n v="9263"/>
    <n v="9567"/>
    <n v="8286"/>
    <n v="8255"/>
    <n v="2289"/>
    <s v="Olympic"/>
    <x v="3"/>
  </r>
  <r>
    <n v="35"/>
    <s v="Kitsap County"/>
    <x v="11"/>
    <n v="19539"/>
    <n v="9547"/>
    <n v="9992"/>
    <n v="8488"/>
    <n v="8651"/>
    <n v="2400"/>
    <s v="Olympic"/>
    <x v="3"/>
  </r>
  <r>
    <n v="35"/>
    <s v="Kitsap County"/>
    <x v="12"/>
    <n v="18251"/>
    <n v="8940"/>
    <n v="9311"/>
    <n v="8051"/>
    <n v="8198"/>
    <n v="2002"/>
    <s v="Olympic"/>
    <x v="3"/>
  </r>
  <r>
    <n v="35"/>
    <s v="Kitsap County"/>
    <x v="13"/>
    <n v="15484"/>
    <n v="7632"/>
    <n v="7852"/>
    <n v="7005"/>
    <n v="6997"/>
    <n v="1482"/>
    <s v="Olympic"/>
    <x v="3"/>
  </r>
  <r>
    <n v="35"/>
    <s v="Kitsap County"/>
    <x v="14"/>
    <n v="10848"/>
    <n v="5421"/>
    <n v="5427"/>
    <n v="4985"/>
    <n v="4825"/>
    <n v="1038"/>
    <s v="Olympic"/>
    <x v="3"/>
  </r>
  <r>
    <n v="35"/>
    <s v="Kitsap County"/>
    <x v="15"/>
    <n v="7318"/>
    <n v="3589"/>
    <n v="3729"/>
    <n v="3290"/>
    <n v="3340"/>
    <n v="688"/>
    <s v="Olympic"/>
    <x v="3"/>
  </r>
  <r>
    <n v="35"/>
    <s v="Kitsap County"/>
    <x v="16"/>
    <n v="5607"/>
    <n v="2513"/>
    <n v="3094"/>
    <n v="2355"/>
    <n v="2753"/>
    <n v="499"/>
    <s v="Olympic"/>
    <x v="3"/>
  </r>
  <r>
    <n v="35"/>
    <s v="Kitsap County"/>
    <x v="17"/>
    <n v="4312"/>
    <n v="1823"/>
    <n v="2489"/>
    <n v="1712"/>
    <n v="2300"/>
    <n v="300"/>
    <s v="Olympic"/>
    <x v="3"/>
  </r>
  <r>
    <n v="35"/>
    <s v="Kitsap County"/>
    <x v="18"/>
    <n v="4057"/>
    <n v="1338"/>
    <n v="2719"/>
    <n v="1273"/>
    <n v="2579"/>
    <n v="205"/>
    <s v="Olympic"/>
    <x v="3"/>
  </r>
  <r>
    <n v="37"/>
    <s v="Kittitas County"/>
    <x v="0"/>
    <n v="39532"/>
    <n v="19570"/>
    <n v="19962"/>
    <n v="18146"/>
    <n v="18351"/>
    <n v="3035"/>
    <s v="South Central"/>
    <x v="8"/>
  </r>
  <r>
    <n v="37"/>
    <s v="Kittitas County"/>
    <x v="1"/>
    <n v="1957"/>
    <n v="1001"/>
    <n v="956"/>
    <n v="909"/>
    <n v="859"/>
    <n v="189"/>
    <s v="South Central"/>
    <x v="8"/>
  </r>
  <r>
    <n v="37"/>
    <s v="Kittitas County"/>
    <x v="2"/>
    <n v="1967"/>
    <n v="977"/>
    <n v="990"/>
    <n v="904"/>
    <n v="903"/>
    <n v="160"/>
    <s v="South Central"/>
    <x v="8"/>
  </r>
  <r>
    <n v="37"/>
    <s v="Kittitas County"/>
    <x v="3"/>
    <n v="1911"/>
    <n v="944"/>
    <n v="967"/>
    <n v="876"/>
    <n v="889"/>
    <n v="146"/>
    <s v="South Central"/>
    <x v="8"/>
  </r>
  <r>
    <n v="37"/>
    <s v="Kittitas County"/>
    <x v="4"/>
    <n v="3764"/>
    <n v="1839"/>
    <n v="1925"/>
    <n v="1667"/>
    <n v="1700"/>
    <n v="397"/>
    <s v="South Central"/>
    <x v="8"/>
  </r>
  <r>
    <n v="37"/>
    <s v="Kittitas County"/>
    <x v="5"/>
    <n v="7948"/>
    <n v="3895"/>
    <n v="4053"/>
    <n v="3493"/>
    <n v="3568"/>
    <n v="887"/>
    <s v="South Central"/>
    <x v="8"/>
  </r>
  <r>
    <n v="37"/>
    <s v="Kittitas County"/>
    <x v="6"/>
    <n v="2601"/>
    <n v="1295"/>
    <n v="1306"/>
    <n v="1129"/>
    <n v="1125"/>
    <n v="347"/>
    <s v="South Central"/>
    <x v="8"/>
  </r>
  <r>
    <n v="37"/>
    <s v="Kittitas County"/>
    <x v="7"/>
    <n v="1297"/>
    <n v="810"/>
    <n v="487"/>
    <n v="699"/>
    <n v="404"/>
    <n v="194"/>
    <s v="South Central"/>
    <x v="8"/>
  </r>
  <r>
    <n v="37"/>
    <s v="Kittitas County"/>
    <x v="8"/>
    <n v="2002"/>
    <n v="1066"/>
    <n v="936"/>
    <n v="993"/>
    <n v="870"/>
    <n v="139"/>
    <s v="South Central"/>
    <x v="8"/>
  </r>
  <r>
    <n v="37"/>
    <s v="Kittitas County"/>
    <x v="9"/>
    <n v="2070"/>
    <n v="1012"/>
    <n v="1058"/>
    <n v="963"/>
    <n v="992"/>
    <n v="115"/>
    <s v="South Central"/>
    <x v="8"/>
  </r>
  <r>
    <n v="37"/>
    <s v="Kittitas County"/>
    <x v="10"/>
    <n v="2230"/>
    <n v="1086"/>
    <n v="1144"/>
    <n v="1046"/>
    <n v="1102"/>
    <n v="82"/>
    <s v="South Central"/>
    <x v="8"/>
  </r>
  <r>
    <n v="37"/>
    <s v="Kittitas County"/>
    <x v="11"/>
    <n v="2401"/>
    <n v="1194"/>
    <n v="1207"/>
    <n v="1149"/>
    <n v="1149"/>
    <n v="103"/>
    <s v="South Central"/>
    <x v="8"/>
  </r>
  <r>
    <n v="37"/>
    <s v="Kittitas County"/>
    <x v="12"/>
    <n v="2318"/>
    <n v="1117"/>
    <n v="1201"/>
    <n v="1079"/>
    <n v="1164"/>
    <n v="75"/>
    <s v="South Central"/>
    <x v="8"/>
  </r>
  <r>
    <n v="37"/>
    <s v="Kittitas County"/>
    <x v="13"/>
    <n v="2173"/>
    <n v="1063"/>
    <n v="1110"/>
    <n v="1033"/>
    <n v="1070"/>
    <n v="70"/>
    <s v="South Central"/>
    <x v="8"/>
  </r>
  <r>
    <n v="37"/>
    <s v="Kittitas County"/>
    <x v="14"/>
    <n v="1606"/>
    <n v="772"/>
    <n v="834"/>
    <n v="749"/>
    <n v="810"/>
    <n v="47"/>
    <s v="South Central"/>
    <x v="8"/>
  </r>
  <r>
    <n v="37"/>
    <s v="Kittitas County"/>
    <x v="15"/>
    <n v="1209"/>
    <n v="611"/>
    <n v="598"/>
    <n v="596"/>
    <n v="580"/>
    <n v="33"/>
    <s v="South Central"/>
    <x v="8"/>
  </r>
  <r>
    <n v="37"/>
    <s v="Kittitas County"/>
    <x v="16"/>
    <n v="844"/>
    <n v="395"/>
    <n v="449"/>
    <n v="381"/>
    <n v="441"/>
    <n v="22"/>
    <s v="South Central"/>
    <x v="8"/>
  </r>
  <r>
    <n v="37"/>
    <s v="Kittitas County"/>
    <x v="17"/>
    <n v="590"/>
    <n v="282"/>
    <n v="308"/>
    <n v="274"/>
    <n v="299"/>
    <n v="17"/>
    <s v="South Central"/>
    <x v="8"/>
  </r>
  <r>
    <n v="37"/>
    <s v="Kittitas County"/>
    <x v="18"/>
    <n v="644"/>
    <n v="211"/>
    <n v="433"/>
    <n v="206"/>
    <n v="426"/>
    <n v="12"/>
    <s v="South Central"/>
    <x v="8"/>
  </r>
  <r>
    <n v="39"/>
    <s v="Klickitat County"/>
    <x v="0"/>
    <n v="20554"/>
    <n v="10274"/>
    <n v="10280"/>
    <n v="9534"/>
    <n v="9546"/>
    <n v="1474"/>
    <s v="South Central"/>
    <x v="8"/>
  </r>
  <r>
    <n v="39"/>
    <s v="Klickitat County"/>
    <x v="1"/>
    <n v="1238"/>
    <n v="650"/>
    <n v="588"/>
    <n v="579"/>
    <n v="531"/>
    <n v="128"/>
    <s v="South Central"/>
    <x v="8"/>
  </r>
  <r>
    <n v="39"/>
    <s v="Klickitat County"/>
    <x v="2"/>
    <n v="1314"/>
    <n v="684"/>
    <n v="630"/>
    <n v="616"/>
    <n v="572"/>
    <n v="126"/>
    <s v="South Central"/>
    <x v="8"/>
  </r>
  <r>
    <n v="39"/>
    <s v="Klickitat County"/>
    <x v="3"/>
    <n v="1319"/>
    <n v="657"/>
    <n v="662"/>
    <n v="576"/>
    <n v="592"/>
    <n v="151"/>
    <s v="South Central"/>
    <x v="8"/>
  </r>
  <r>
    <n v="39"/>
    <s v="Klickitat County"/>
    <x v="4"/>
    <n v="1259"/>
    <n v="649"/>
    <n v="610"/>
    <n v="585"/>
    <n v="542"/>
    <n v="132"/>
    <s v="South Central"/>
    <x v="8"/>
  </r>
  <r>
    <n v="39"/>
    <s v="Klickitat County"/>
    <x v="5"/>
    <n v="995"/>
    <n v="521"/>
    <n v="474"/>
    <n v="439"/>
    <n v="414"/>
    <n v="142"/>
    <s v="South Central"/>
    <x v="8"/>
  </r>
  <r>
    <n v="39"/>
    <s v="Klickitat County"/>
    <x v="6"/>
    <n v="941"/>
    <n v="540"/>
    <n v="401"/>
    <n v="493"/>
    <n v="360"/>
    <n v="88"/>
    <s v="South Central"/>
    <x v="8"/>
  </r>
  <r>
    <n v="39"/>
    <s v="Klickitat County"/>
    <x v="7"/>
    <n v="949"/>
    <n v="451"/>
    <n v="498"/>
    <n v="417"/>
    <n v="459"/>
    <n v="73"/>
    <s v="South Central"/>
    <x v="8"/>
  </r>
  <r>
    <n v="39"/>
    <s v="Klickitat County"/>
    <x v="8"/>
    <n v="1199"/>
    <n v="586"/>
    <n v="613"/>
    <n v="543"/>
    <n v="579"/>
    <n v="77"/>
    <s v="South Central"/>
    <x v="8"/>
  </r>
  <r>
    <n v="39"/>
    <s v="Klickitat County"/>
    <x v="9"/>
    <n v="1106"/>
    <n v="565"/>
    <n v="541"/>
    <n v="538"/>
    <n v="504"/>
    <n v="64"/>
    <s v="South Central"/>
    <x v="8"/>
  </r>
  <r>
    <n v="39"/>
    <s v="Klickitat County"/>
    <x v="10"/>
    <n v="1504"/>
    <n v="709"/>
    <n v="795"/>
    <n v="663"/>
    <n v="729"/>
    <n v="112"/>
    <s v="South Central"/>
    <x v="8"/>
  </r>
  <r>
    <n v="39"/>
    <s v="Klickitat County"/>
    <x v="11"/>
    <n v="1740"/>
    <n v="874"/>
    <n v="866"/>
    <n v="832"/>
    <n v="804"/>
    <n v="104"/>
    <s v="South Central"/>
    <x v="8"/>
  </r>
  <r>
    <n v="39"/>
    <s v="Klickitat County"/>
    <x v="12"/>
    <n v="1865"/>
    <n v="902"/>
    <n v="963"/>
    <n v="857"/>
    <n v="925"/>
    <n v="83"/>
    <s v="South Central"/>
    <x v="8"/>
  </r>
  <r>
    <n v="39"/>
    <s v="Klickitat County"/>
    <x v="13"/>
    <n v="1627"/>
    <n v="827"/>
    <n v="800"/>
    <n v="799"/>
    <n v="768"/>
    <n v="60"/>
    <s v="South Central"/>
    <x v="8"/>
  </r>
  <r>
    <n v="39"/>
    <s v="Klickitat County"/>
    <x v="14"/>
    <n v="1235"/>
    <n v="622"/>
    <n v="613"/>
    <n v="601"/>
    <n v="594"/>
    <n v="40"/>
    <s v="South Central"/>
    <x v="8"/>
  </r>
  <r>
    <n v="39"/>
    <s v="Klickitat County"/>
    <x v="15"/>
    <n v="842"/>
    <n v="426"/>
    <n v="416"/>
    <n v="410"/>
    <n v="399"/>
    <n v="33"/>
    <s v="South Central"/>
    <x v="8"/>
  </r>
  <r>
    <n v="39"/>
    <s v="Klickitat County"/>
    <x v="16"/>
    <n v="559"/>
    <n v="269"/>
    <n v="290"/>
    <n v="260"/>
    <n v="281"/>
    <n v="18"/>
    <s v="South Central"/>
    <x v="8"/>
  </r>
  <r>
    <n v="39"/>
    <s v="Klickitat County"/>
    <x v="17"/>
    <n v="441"/>
    <n v="207"/>
    <n v="234"/>
    <n v="202"/>
    <n v="221"/>
    <n v="18"/>
    <s v="South Central"/>
    <x v="8"/>
  </r>
  <r>
    <n v="39"/>
    <s v="Klickitat County"/>
    <x v="18"/>
    <n v="421"/>
    <n v="135"/>
    <n v="286"/>
    <n v="124"/>
    <n v="272"/>
    <n v="25"/>
    <s v="South Central"/>
    <x v="8"/>
  </r>
  <r>
    <n v="41"/>
    <s v="Lewis County"/>
    <x v="0"/>
    <n v="74741"/>
    <n v="37295"/>
    <n v="37446"/>
    <n v="35332"/>
    <n v="35600"/>
    <n v="3809"/>
    <s v="PacMtn"/>
    <x v="5"/>
  </r>
  <r>
    <n v="41"/>
    <s v="Lewis County"/>
    <x v="1"/>
    <n v="4833"/>
    <n v="2494"/>
    <n v="2339"/>
    <n v="2234"/>
    <n v="2092"/>
    <n v="507"/>
    <s v="PacMtn"/>
    <x v="5"/>
  </r>
  <r>
    <n v="41"/>
    <s v="Lewis County"/>
    <x v="2"/>
    <n v="4668"/>
    <n v="2384"/>
    <n v="2284"/>
    <n v="2185"/>
    <n v="2068"/>
    <n v="415"/>
    <s v="PacMtn"/>
    <x v="5"/>
  </r>
  <r>
    <n v="41"/>
    <s v="Lewis County"/>
    <x v="3"/>
    <n v="4839"/>
    <n v="2448"/>
    <n v="2391"/>
    <n v="2283"/>
    <n v="2250"/>
    <n v="306"/>
    <s v="PacMtn"/>
    <x v="5"/>
  </r>
  <r>
    <n v="41"/>
    <s v="Lewis County"/>
    <x v="4"/>
    <n v="5129"/>
    <n v="2772"/>
    <n v="2357"/>
    <n v="2549"/>
    <n v="2194"/>
    <n v="386"/>
    <s v="PacMtn"/>
    <x v="5"/>
  </r>
  <r>
    <n v="41"/>
    <s v="Lewis County"/>
    <x v="5"/>
    <n v="4473"/>
    <n v="2359"/>
    <n v="2114"/>
    <n v="2190"/>
    <n v="1964"/>
    <n v="319"/>
    <s v="PacMtn"/>
    <x v="5"/>
  </r>
  <r>
    <n v="41"/>
    <s v="Lewis County"/>
    <x v="6"/>
    <n v="4750"/>
    <n v="2519"/>
    <n v="2231"/>
    <n v="2382"/>
    <n v="2144"/>
    <n v="224"/>
    <s v="PacMtn"/>
    <x v="5"/>
  </r>
  <r>
    <n v="41"/>
    <s v="Lewis County"/>
    <x v="7"/>
    <n v="3880"/>
    <n v="1998"/>
    <n v="1882"/>
    <n v="1903"/>
    <n v="1794"/>
    <n v="183"/>
    <s v="PacMtn"/>
    <x v="5"/>
  </r>
  <r>
    <n v="41"/>
    <s v="Lewis County"/>
    <x v="8"/>
    <n v="4243"/>
    <n v="2159"/>
    <n v="2084"/>
    <n v="2049"/>
    <n v="1992"/>
    <n v="202"/>
    <s v="PacMtn"/>
    <x v="5"/>
  </r>
  <r>
    <n v="41"/>
    <s v="Lewis County"/>
    <x v="9"/>
    <n v="4243"/>
    <n v="2133"/>
    <n v="2110"/>
    <n v="2031"/>
    <n v="2020"/>
    <n v="192"/>
    <s v="PacMtn"/>
    <x v="5"/>
  </r>
  <r>
    <n v="41"/>
    <s v="Lewis County"/>
    <x v="10"/>
    <n v="5201"/>
    <n v="2497"/>
    <n v="2704"/>
    <n v="2413"/>
    <n v="2589"/>
    <n v="199"/>
    <s v="PacMtn"/>
    <x v="5"/>
  </r>
  <r>
    <n v="41"/>
    <s v="Lewis County"/>
    <x v="11"/>
    <n v="5534"/>
    <n v="2768"/>
    <n v="2766"/>
    <n v="2678"/>
    <n v="2653"/>
    <n v="203"/>
    <s v="PacMtn"/>
    <x v="5"/>
  </r>
  <r>
    <n v="41"/>
    <s v="Lewis County"/>
    <x v="12"/>
    <n v="5399"/>
    <n v="2674"/>
    <n v="2725"/>
    <n v="2570"/>
    <n v="2634"/>
    <n v="195"/>
    <s v="PacMtn"/>
    <x v="5"/>
  </r>
  <r>
    <n v="41"/>
    <s v="Lewis County"/>
    <x v="13"/>
    <n v="4863"/>
    <n v="2369"/>
    <n v="2494"/>
    <n v="2298"/>
    <n v="2418"/>
    <n v="147"/>
    <s v="PacMtn"/>
    <x v="5"/>
  </r>
  <r>
    <n v="41"/>
    <s v="Lewis County"/>
    <x v="14"/>
    <n v="3968"/>
    <n v="1892"/>
    <n v="2076"/>
    <n v="1837"/>
    <n v="2020"/>
    <n v="111"/>
    <s v="PacMtn"/>
    <x v="5"/>
  </r>
  <r>
    <n v="41"/>
    <s v="Lewis County"/>
    <x v="15"/>
    <n v="3078"/>
    <n v="1466"/>
    <n v="1612"/>
    <n v="1429"/>
    <n v="1570"/>
    <n v="79"/>
    <s v="PacMtn"/>
    <x v="5"/>
  </r>
  <r>
    <n v="41"/>
    <s v="Lewis County"/>
    <x v="16"/>
    <n v="2278"/>
    <n v="1015"/>
    <n v="1263"/>
    <n v="986"/>
    <n v="1229"/>
    <n v="63"/>
    <s v="PacMtn"/>
    <x v="5"/>
  </r>
  <r>
    <n v="41"/>
    <s v="Lewis County"/>
    <x v="17"/>
    <n v="1764"/>
    <n v="799"/>
    <n v="965"/>
    <n v="778"/>
    <n v="941"/>
    <n v="45"/>
    <s v="PacMtn"/>
    <x v="5"/>
  </r>
  <r>
    <n v="41"/>
    <s v="Lewis County"/>
    <x v="18"/>
    <n v="1598"/>
    <n v="549"/>
    <n v="1049"/>
    <n v="537"/>
    <n v="1028"/>
    <n v="33"/>
    <s v="PacMtn"/>
    <x v="5"/>
  </r>
  <r>
    <n v="43"/>
    <s v="Lincoln County"/>
    <x v="0"/>
    <n v="10248"/>
    <n v="5080"/>
    <n v="5168"/>
    <n v="4845"/>
    <n v="4890"/>
    <n v="513"/>
    <s v="Eastern"/>
    <x v="1"/>
  </r>
  <r>
    <n v="43"/>
    <s v="Lincoln County"/>
    <x v="1"/>
    <n v="555"/>
    <n v="296"/>
    <n v="259"/>
    <n v="273"/>
    <n v="233"/>
    <n v="49"/>
    <s v="Eastern"/>
    <x v="1"/>
  </r>
  <r>
    <n v="43"/>
    <s v="Lincoln County"/>
    <x v="2"/>
    <n v="597"/>
    <n v="309"/>
    <n v="288"/>
    <n v="291"/>
    <n v="265"/>
    <n v="41"/>
    <s v="Eastern"/>
    <x v="1"/>
  </r>
  <r>
    <n v="43"/>
    <s v="Lincoln County"/>
    <x v="3"/>
    <n v="714"/>
    <n v="385"/>
    <n v="329"/>
    <n v="352"/>
    <n v="309"/>
    <n v="53"/>
    <s v="Eastern"/>
    <x v="1"/>
  </r>
  <r>
    <n v="43"/>
    <s v="Lincoln County"/>
    <x v="4"/>
    <n v="711"/>
    <n v="382"/>
    <n v="329"/>
    <n v="352"/>
    <n v="302"/>
    <n v="57"/>
    <s v="Eastern"/>
    <x v="1"/>
  </r>
  <r>
    <n v="43"/>
    <s v="Lincoln County"/>
    <x v="5"/>
    <n v="450"/>
    <n v="231"/>
    <n v="219"/>
    <n v="213"/>
    <n v="195"/>
    <n v="42"/>
    <s v="Eastern"/>
    <x v="1"/>
  </r>
  <r>
    <n v="43"/>
    <s v="Lincoln County"/>
    <x v="6"/>
    <n v="328"/>
    <n v="174"/>
    <n v="154"/>
    <n v="162"/>
    <n v="133"/>
    <n v="33"/>
    <s v="Eastern"/>
    <x v="1"/>
  </r>
  <r>
    <n v="43"/>
    <s v="Lincoln County"/>
    <x v="7"/>
    <n v="396"/>
    <n v="202"/>
    <n v="194"/>
    <n v="193"/>
    <n v="178"/>
    <n v="25"/>
    <s v="Eastern"/>
    <x v="1"/>
  </r>
  <r>
    <n v="43"/>
    <s v="Lincoln County"/>
    <x v="8"/>
    <n v="492"/>
    <n v="248"/>
    <n v="244"/>
    <n v="237"/>
    <n v="231"/>
    <n v="24"/>
    <s v="Eastern"/>
    <x v="1"/>
  </r>
  <r>
    <n v="43"/>
    <s v="Lincoln County"/>
    <x v="9"/>
    <n v="590"/>
    <n v="289"/>
    <n v="301"/>
    <n v="285"/>
    <n v="288"/>
    <n v="17"/>
    <s v="Eastern"/>
    <x v="1"/>
  </r>
  <r>
    <n v="43"/>
    <s v="Lincoln County"/>
    <x v="10"/>
    <n v="693"/>
    <n v="314"/>
    <n v="379"/>
    <n v="300"/>
    <n v="360"/>
    <n v="33"/>
    <s v="Eastern"/>
    <x v="1"/>
  </r>
  <r>
    <n v="43"/>
    <s v="Lincoln County"/>
    <x v="11"/>
    <n v="880"/>
    <n v="425"/>
    <n v="455"/>
    <n v="412"/>
    <n v="439"/>
    <n v="29"/>
    <s v="Eastern"/>
    <x v="1"/>
  </r>
  <r>
    <n v="43"/>
    <s v="Lincoln County"/>
    <x v="12"/>
    <n v="877"/>
    <n v="447"/>
    <n v="430"/>
    <n v="431"/>
    <n v="414"/>
    <n v="32"/>
    <s v="Eastern"/>
    <x v="1"/>
  </r>
  <r>
    <n v="43"/>
    <s v="Lincoln County"/>
    <x v="13"/>
    <n v="832"/>
    <n v="389"/>
    <n v="443"/>
    <n v="381"/>
    <n v="432"/>
    <n v="19"/>
    <s v="Eastern"/>
    <x v="1"/>
  </r>
  <r>
    <n v="43"/>
    <s v="Lincoln County"/>
    <x v="14"/>
    <n v="639"/>
    <n v="305"/>
    <n v="334"/>
    <n v="295"/>
    <n v="326"/>
    <n v="18"/>
    <s v="Eastern"/>
    <x v="1"/>
  </r>
  <r>
    <n v="43"/>
    <s v="Lincoln County"/>
    <x v="15"/>
    <n v="490"/>
    <n v="248"/>
    <n v="242"/>
    <n v="243"/>
    <n v="232"/>
    <n v="15"/>
    <s v="Eastern"/>
    <x v="1"/>
  </r>
  <r>
    <n v="43"/>
    <s v="Lincoln County"/>
    <x v="16"/>
    <n v="404"/>
    <n v="182"/>
    <n v="222"/>
    <n v="178"/>
    <n v="216"/>
    <n v="10"/>
    <s v="Eastern"/>
    <x v="1"/>
  </r>
  <r>
    <n v="43"/>
    <s v="Lincoln County"/>
    <x v="17"/>
    <n v="261"/>
    <n v="124"/>
    <n v="137"/>
    <n v="121"/>
    <n v="137"/>
    <n v="3"/>
    <s v="Eastern"/>
    <x v="1"/>
  </r>
  <r>
    <n v="43"/>
    <s v="Lincoln County"/>
    <x v="18"/>
    <n v="339"/>
    <n v="130"/>
    <n v="209"/>
    <n v="126"/>
    <n v="200"/>
    <n v="13"/>
    <s v="Eastern"/>
    <x v="1"/>
  </r>
  <r>
    <n v="45"/>
    <s v="Mason County"/>
    <x v="0"/>
    <n v="58016"/>
    <n v="29856"/>
    <n v="28160"/>
    <n v="26735"/>
    <n v="25462"/>
    <n v="5819"/>
    <s v="PacMtn"/>
    <x v="5"/>
  </r>
  <r>
    <n v="45"/>
    <s v="Mason County"/>
    <x v="1"/>
    <n v="3411"/>
    <n v="1741"/>
    <n v="1670"/>
    <n v="1435"/>
    <n v="1378"/>
    <n v="598"/>
    <s v="PacMtn"/>
    <x v="5"/>
  </r>
  <r>
    <n v="45"/>
    <s v="Mason County"/>
    <x v="2"/>
    <n v="3324"/>
    <n v="1721"/>
    <n v="1603"/>
    <n v="1464"/>
    <n v="1322"/>
    <n v="538"/>
    <s v="PacMtn"/>
    <x v="5"/>
  </r>
  <r>
    <n v="45"/>
    <s v="Mason County"/>
    <x v="3"/>
    <n v="3320"/>
    <n v="1718"/>
    <n v="1602"/>
    <n v="1475"/>
    <n v="1407"/>
    <n v="438"/>
    <s v="PacMtn"/>
    <x v="5"/>
  </r>
  <r>
    <n v="45"/>
    <s v="Mason County"/>
    <x v="4"/>
    <n v="3590"/>
    <n v="1942"/>
    <n v="1648"/>
    <n v="1643"/>
    <n v="1409"/>
    <n v="538"/>
    <s v="PacMtn"/>
    <x v="5"/>
  </r>
  <r>
    <n v="45"/>
    <s v="Mason County"/>
    <x v="5"/>
    <n v="3184"/>
    <n v="1858"/>
    <n v="1326"/>
    <n v="1541"/>
    <n v="1116"/>
    <n v="527"/>
    <s v="PacMtn"/>
    <x v="5"/>
  </r>
  <r>
    <n v="45"/>
    <s v="Mason County"/>
    <x v="6"/>
    <n v="3759"/>
    <n v="2060"/>
    <n v="1699"/>
    <n v="1752"/>
    <n v="1511"/>
    <n v="496"/>
    <s v="PacMtn"/>
    <x v="5"/>
  </r>
  <r>
    <n v="45"/>
    <s v="Mason County"/>
    <x v="7"/>
    <n v="3058"/>
    <n v="1720"/>
    <n v="1338"/>
    <n v="1530"/>
    <n v="1191"/>
    <n v="337"/>
    <s v="PacMtn"/>
    <x v="5"/>
  </r>
  <r>
    <n v="45"/>
    <s v="Mason County"/>
    <x v="8"/>
    <n v="3362"/>
    <n v="1828"/>
    <n v="1534"/>
    <n v="1605"/>
    <n v="1377"/>
    <n v="380"/>
    <s v="PacMtn"/>
    <x v="5"/>
  </r>
  <r>
    <n v="45"/>
    <s v="Mason County"/>
    <x v="9"/>
    <n v="3335"/>
    <n v="1790"/>
    <n v="1545"/>
    <n v="1587"/>
    <n v="1395"/>
    <n v="353"/>
    <s v="PacMtn"/>
    <x v="5"/>
  </r>
  <r>
    <n v="45"/>
    <s v="Mason County"/>
    <x v="10"/>
    <n v="4246"/>
    <n v="2129"/>
    <n v="2117"/>
    <n v="1943"/>
    <n v="1939"/>
    <n v="364"/>
    <s v="PacMtn"/>
    <x v="5"/>
  </r>
  <r>
    <n v="45"/>
    <s v="Mason County"/>
    <x v="11"/>
    <n v="4560"/>
    <n v="2296"/>
    <n v="2264"/>
    <n v="2126"/>
    <n v="2086"/>
    <n v="348"/>
    <s v="PacMtn"/>
    <x v="5"/>
  </r>
  <r>
    <n v="45"/>
    <s v="Mason County"/>
    <x v="12"/>
    <n v="4542"/>
    <n v="2241"/>
    <n v="2301"/>
    <n v="2127"/>
    <n v="2139"/>
    <n v="276"/>
    <s v="PacMtn"/>
    <x v="5"/>
  </r>
  <r>
    <n v="45"/>
    <s v="Mason County"/>
    <x v="13"/>
    <n v="4309"/>
    <n v="2106"/>
    <n v="2203"/>
    <n v="2019"/>
    <n v="2093"/>
    <n v="197"/>
    <s v="PacMtn"/>
    <x v="5"/>
  </r>
  <r>
    <n v="45"/>
    <s v="Mason County"/>
    <x v="14"/>
    <n v="3430"/>
    <n v="1606"/>
    <n v="1824"/>
    <n v="1527"/>
    <n v="1743"/>
    <n v="160"/>
    <s v="PacMtn"/>
    <x v="5"/>
  </r>
  <r>
    <n v="45"/>
    <s v="Mason County"/>
    <x v="15"/>
    <n v="2493"/>
    <n v="1210"/>
    <n v="1283"/>
    <n v="1156"/>
    <n v="1226"/>
    <n v="111"/>
    <s v="PacMtn"/>
    <x v="5"/>
  </r>
  <r>
    <n v="45"/>
    <s v="Mason County"/>
    <x v="16"/>
    <n v="1851"/>
    <n v="901"/>
    <n v="950"/>
    <n v="864"/>
    <n v="916"/>
    <n v="71"/>
    <s v="PacMtn"/>
    <x v="5"/>
  </r>
  <r>
    <n v="45"/>
    <s v="Mason County"/>
    <x v="17"/>
    <n v="1249"/>
    <n v="580"/>
    <n v="669"/>
    <n v="554"/>
    <n v="646"/>
    <n v="49"/>
    <s v="PacMtn"/>
    <x v="5"/>
  </r>
  <r>
    <n v="45"/>
    <s v="Mason County"/>
    <x v="18"/>
    <n v="993"/>
    <n v="409"/>
    <n v="584"/>
    <n v="387"/>
    <n v="568"/>
    <n v="38"/>
    <s v="PacMtn"/>
    <x v="5"/>
  </r>
  <r>
    <n v="47"/>
    <s v="Okanogan County"/>
    <x v="0"/>
    <n v="40552"/>
    <n v="20228"/>
    <n v="20324"/>
    <n v="17146"/>
    <n v="17232"/>
    <n v="6174"/>
    <s v="North Central"/>
    <x v="0"/>
  </r>
  <r>
    <n v="47"/>
    <s v="Okanogan County"/>
    <x v="1"/>
    <n v="2966"/>
    <n v="1533"/>
    <n v="1433"/>
    <n v="1141"/>
    <n v="1056"/>
    <n v="769"/>
    <s v="North Central"/>
    <x v="0"/>
  </r>
  <r>
    <n v="47"/>
    <s v="Okanogan County"/>
    <x v="2"/>
    <n v="2624"/>
    <n v="1329"/>
    <n v="1295"/>
    <n v="1047"/>
    <n v="996"/>
    <n v="581"/>
    <s v="North Central"/>
    <x v="0"/>
  </r>
  <r>
    <n v="47"/>
    <s v="Okanogan County"/>
    <x v="3"/>
    <n v="2478"/>
    <n v="1278"/>
    <n v="1200"/>
    <n v="1027"/>
    <n v="963"/>
    <n v="488"/>
    <s v="North Central"/>
    <x v="0"/>
  </r>
  <r>
    <n v="47"/>
    <s v="Okanogan County"/>
    <x v="4"/>
    <n v="2893"/>
    <n v="1448"/>
    <n v="1445"/>
    <n v="1148"/>
    <n v="1132"/>
    <n v="613"/>
    <s v="North Central"/>
    <x v="0"/>
  </r>
  <r>
    <n v="47"/>
    <s v="Okanogan County"/>
    <x v="5"/>
    <n v="2324"/>
    <n v="1206"/>
    <n v="1118"/>
    <n v="970"/>
    <n v="894"/>
    <n v="460"/>
    <s v="North Central"/>
    <x v="0"/>
  </r>
  <r>
    <n v="47"/>
    <s v="Okanogan County"/>
    <x v="6"/>
    <n v="2096"/>
    <n v="1147"/>
    <n v="949"/>
    <n v="914"/>
    <n v="760"/>
    <n v="422"/>
    <s v="North Central"/>
    <x v="0"/>
  </r>
  <r>
    <n v="47"/>
    <s v="Okanogan County"/>
    <x v="7"/>
    <n v="1750"/>
    <n v="912"/>
    <n v="838"/>
    <n v="710"/>
    <n v="708"/>
    <n v="332"/>
    <s v="North Central"/>
    <x v="0"/>
  </r>
  <r>
    <n v="47"/>
    <s v="Okanogan County"/>
    <x v="8"/>
    <n v="2175"/>
    <n v="1130"/>
    <n v="1045"/>
    <n v="939"/>
    <n v="884"/>
    <n v="352"/>
    <s v="North Central"/>
    <x v="0"/>
  </r>
  <r>
    <n v="47"/>
    <s v="Okanogan County"/>
    <x v="9"/>
    <n v="2173"/>
    <n v="1025"/>
    <n v="1148"/>
    <n v="899"/>
    <n v="973"/>
    <n v="301"/>
    <s v="North Central"/>
    <x v="0"/>
  </r>
  <r>
    <n v="47"/>
    <s v="Okanogan County"/>
    <x v="10"/>
    <n v="2771"/>
    <n v="1322"/>
    <n v="1449"/>
    <n v="1176"/>
    <n v="1259"/>
    <n v="336"/>
    <s v="North Central"/>
    <x v="0"/>
  </r>
  <r>
    <n v="47"/>
    <s v="Okanogan County"/>
    <x v="11"/>
    <n v="3189"/>
    <n v="1539"/>
    <n v="1650"/>
    <n v="1366"/>
    <n v="1444"/>
    <n v="379"/>
    <s v="North Central"/>
    <x v="0"/>
  </r>
  <r>
    <n v="47"/>
    <s v="Okanogan County"/>
    <x v="12"/>
    <n v="3284"/>
    <n v="1647"/>
    <n v="1637"/>
    <n v="1478"/>
    <n v="1472"/>
    <n v="334"/>
    <s v="North Central"/>
    <x v="0"/>
  </r>
  <r>
    <n v="47"/>
    <s v="Okanogan County"/>
    <x v="13"/>
    <n v="2948"/>
    <n v="1444"/>
    <n v="1504"/>
    <n v="1307"/>
    <n v="1368"/>
    <n v="273"/>
    <s v="North Central"/>
    <x v="0"/>
  </r>
  <r>
    <n v="47"/>
    <s v="Okanogan County"/>
    <x v="14"/>
    <n v="2287"/>
    <n v="1175"/>
    <n v="1112"/>
    <n v="1075"/>
    <n v="1003"/>
    <n v="209"/>
    <s v="North Central"/>
    <x v="0"/>
  </r>
  <r>
    <n v="47"/>
    <s v="Okanogan County"/>
    <x v="15"/>
    <n v="1714"/>
    <n v="852"/>
    <n v="862"/>
    <n v="784"/>
    <n v="799"/>
    <n v="131"/>
    <s v="North Central"/>
    <x v="0"/>
  </r>
  <r>
    <n v="47"/>
    <s v="Okanogan County"/>
    <x v="16"/>
    <n v="1217"/>
    <n v="561"/>
    <n v="656"/>
    <n v="520"/>
    <n v="614"/>
    <n v="83"/>
    <s v="North Central"/>
    <x v="0"/>
  </r>
  <r>
    <n v="47"/>
    <s v="Okanogan County"/>
    <x v="17"/>
    <n v="869"/>
    <n v="382"/>
    <n v="487"/>
    <n v="359"/>
    <n v="440"/>
    <n v="70"/>
    <s v="North Central"/>
    <x v="0"/>
  </r>
  <r>
    <n v="47"/>
    <s v="Okanogan County"/>
    <x v="18"/>
    <n v="794"/>
    <n v="298"/>
    <n v="496"/>
    <n v="286"/>
    <n v="467"/>
    <n v="41"/>
    <s v="North Central"/>
    <x v="0"/>
  </r>
  <r>
    <n v="49"/>
    <s v="Pacific County"/>
    <x v="0"/>
    <n v="21272"/>
    <n v="10528"/>
    <n v="10744"/>
    <n v="9664"/>
    <n v="9898"/>
    <n v="1710"/>
    <s v="PacMtn"/>
    <x v="5"/>
  </r>
  <r>
    <n v="49"/>
    <s v="Pacific County"/>
    <x v="1"/>
    <n v="1087"/>
    <n v="544"/>
    <n v="543"/>
    <n v="484"/>
    <n v="473"/>
    <n v="130"/>
    <s v="PacMtn"/>
    <x v="5"/>
  </r>
  <r>
    <n v="49"/>
    <s v="Pacific County"/>
    <x v="2"/>
    <n v="935"/>
    <n v="480"/>
    <n v="455"/>
    <n v="418"/>
    <n v="399"/>
    <n v="118"/>
    <s v="PacMtn"/>
    <x v="5"/>
  </r>
  <r>
    <n v="49"/>
    <s v="Pacific County"/>
    <x v="3"/>
    <n v="1046"/>
    <n v="555"/>
    <n v="491"/>
    <n v="496"/>
    <n v="422"/>
    <n v="128"/>
    <s v="PacMtn"/>
    <x v="5"/>
  </r>
  <r>
    <n v="49"/>
    <s v="Pacific County"/>
    <x v="4"/>
    <n v="1244"/>
    <n v="688"/>
    <n v="556"/>
    <n v="585"/>
    <n v="477"/>
    <n v="182"/>
    <s v="PacMtn"/>
    <x v="5"/>
  </r>
  <r>
    <n v="49"/>
    <s v="Pacific County"/>
    <x v="5"/>
    <n v="1066"/>
    <n v="568"/>
    <n v="498"/>
    <n v="489"/>
    <n v="451"/>
    <n v="126"/>
    <s v="PacMtn"/>
    <x v="5"/>
  </r>
  <r>
    <n v="49"/>
    <s v="Pacific County"/>
    <x v="6"/>
    <n v="904"/>
    <n v="502"/>
    <n v="402"/>
    <n v="446"/>
    <n v="352"/>
    <n v="106"/>
    <s v="PacMtn"/>
    <x v="5"/>
  </r>
  <r>
    <n v="49"/>
    <s v="Pacific County"/>
    <x v="7"/>
    <n v="818"/>
    <n v="452"/>
    <n v="366"/>
    <n v="408"/>
    <n v="331"/>
    <n v="79"/>
    <s v="PacMtn"/>
    <x v="5"/>
  </r>
  <r>
    <n v="49"/>
    <s v="Pacific County"/>
    <x v="8"/>
    <n v="868"/>
    <n v="445"/>
    <n v="423"/>
    <n v="411"/>
    <n v="391"/>
    <n v="66"/>
    <s v="PacMtn"/>
    <x v="5"/>
  </r>
  <r>
    <n v="49"/>
    <s v="Pacific County"/>
    <x v="9"/>
    <n v="1095"/>
    <n v="538"/>
    <n v="557"/>
    <n v="499"/>
    <n v="518"/>
    <n v="78"/>
    <s v="PacMtn"/>
    <x v="5"/>
  </r>
  <r>
    <n v="49"/>
    <s v="Pacific County"/>
    <x v="10"/>
    <n v="1407"/>
    <n v="691"/>
    <n v="716"/>
    <n v="630"/>
    <n v="656"/>
    <n v="121"/>
    <s v="PacMtn"/>
    <x v="5"/>
  </r>
  <r>
    <n v="49"/>
    <s v="Pacific County"/>
    <x v="11"/>
    <n v="1672"/>
    <n v="765"/>
    <n v="907"/>
    <n v="712"/>
    <n v="837"/>
    <n v="123"/>
    <s v="PacMtn"/>
    <x v="5"/>
  </r>
  <r>
    <n v="49"/>
    <s v="Pacific County"/>
    <x v="12"/>
    <n v="1889"/>
    <n v="924"/>
    <n v="965"/>
    <n v="874"/>
    <n v="910"/>
    <n v="105"/>
    <s v="PacMtn"/>
    <x v="5"/>
  </r>
  <r>
    <n v="49"/>
    <s v="Pacific County"/>
    <x v="13"/>
    <n v="1986"/>
    <n v="962"/>
    <n v="1024"/>
    <n v="917"/>
    <n v="979"/>
    <n v="90"/>
    <s v="PacMtn"/>
    <x v="5"/>
  </r>
  <r>
    <n v="49"/>
    <s v="Pacific County"/>
    <x v="14"/>
    <n v="1778"/>
    <n v="822"/>
    <n v="956"/>
    <n v="787"/>
    <n v="909"/>
    <n v="82"/>
    <s v="PacMtn"/>
    <x v="5"/>
  </r>
  <r>
    <n v="49"/>
    <s v="Pacific County"/>
    <x v="15"/>
    <n v="1308"/>
    <n v="618"/>
    <n v="690"/>
    <n v="591"/>
    <n v="661"/>
    <n v="56"/>
    <s v="PacMtn"/>
    <x v="5"/>
  </r>
  <r>
    <n v="49"/>
    <s v="Pacific County"/>
    <x v="16"/>
    <n v="891"/>
    <n v="403"/>
    <n v="488"/>
    <n v="384"/>
    <n v="466"/>
    <n v="41"/>
    <s v="PacMtn"/>
    <x v="5"/>
  </r>
  <r>
    <n v="49"/>
    <s v="Pacific County"/>
    <x v="17"/>
    <n v="732"/>
    <n v="341"/>
    <n v="391"/>
    <n v="319"/>
    <n v="364"/>
    <n v="49"/>
    <s v="PacMtn"/>
    <x v="5"/>
  </r>
  <r>
    <n v="49"/>
    <s v="Pacific County"/>
    <x v="18"/>
    <n v="546"/>
    <n v="230"/>
    <n v="316"/>
    <n v="214"/>
    <n v="302"/>
    <n v="30"/>
    <s v="PacMtn"/>
    <x v="5"/>
  </r>
  <r>
    <n v="51"/>
    <s v="Pend Oreille County"/>
    <x v="0"/>
    <n v="12946"/>
    <n v="6465"/>
    <n v="6481"/>
    <n v="6026"/>
    <n v="6046"/>
    <n v="874"/>
    <s v="Eastern"/>
    <x v="1"/>
  </r>
  <r>
    <n v="51"/>
    <s v="Pend Oreille County"/>
    <x v="1"/>
    <n v="704"/>
    <n v="358"/>
    <n v="346"/>
    <n v="302"/>
    <n v="305"/>
    <n v="97"/>
    <s v="Eastern"/>
    <x v="1"/>
  </r>
  <r>
    <n v="51"/>
    <s v="Pend Oreille County"/>
    <x v="2"/>
    <n v="767"/>
    <n v="417"/>
    <n v="350"/>
    <n v="371"/>
    <n v="311"/>
    <n v="85"/>
    <s v="Eastern"/>
    <x v="1"/>
  </r>
  <r>
    <n v="51"/>
    <s v="Pend Oreille County"/>
    <x v="3"/>
    <n v="927"/>
    <n v="482"/>
    <n v="445"/>
    <n v="432"/>
    <n v="387"/>
    <n v="108"/>
    <s v="Eastern"/>
    <x v="1"/>
  </r>
  <r>
    <n v="51"/>
    <s v="Pend Oreille County"/>
    <x v="4"/>
    <n v="861"/>
    <n v="452"/>
    <n v="409"/>
    <n v="408"/>
    <n v="368"/>
    <n v="85"/>
    <s v="Eastern"/>
    <x v="1"/>
  </r>
  <r>
    <n v="51"/>
    <s v="Pend Oreille County"/>
    <x v="5"/>
    <n v="622"/>
    <n v="308"/>
    <n v="314"/>
    <n v="267"/>
    <n v="271"/>
    <n v="84"/>
    <s v="Eastern"/>
    <x v="1"/>
  </r>
  <r>
    <n v="51"/>
    <s v="Pend Oreille County"/>
    <x v="6"/>
    <n v="393"/>
    <n v="219"/>
    <n v="174"/>
    <n v="188"/>
    <n v="144"/>
    <n v="61"/>
    <s v="Eastern"/>
    <x v="1"/>
  </r>
  <r>
    <n v="51"/>
    <s v="Pend Oreille County"/>
    <x v="7"/>
    <n v="392"/>
    <n v="210"/>
    <n v="182"/>
    <n v="197"/>
    <n v="168"/>
    <n v="27"/>
    <s v="Eastern"/>
    <x v="1"/>
  </r>
  <r>
    <n v="51"/>
    <s v="Pend Oreille County"/>
    <x v="8"/>
    <n v="677"/>
    <n v="326"/>
    <n v="351"/>
    <n v="307"/>
    <n v="317"/>
    <n v="53"/>
    <s v="Eastern"/>
    <x v="1"/>
  </r>
  <r>
    <n v="51"/>
    <s v="Pend Oreille County"/>
    <x v="9"/>
    <n v="765"/>
    <n v="359"/>
    <n v="406"/>
    <n v="337"/>
    <n v="388"/>
    <n v="40"/>
    <s v="Eastern"/>
    <x v="1"/>
  </r>
  <r>
    <n v="51"/>
    <s v="Pend Oreille County"/>
    <x v="10"/>
    <n v="1051"/>
    <n v="502"/>
    <n v="549"/>
    <n v="470"/>
    <n v="529"/>
    <n v="52"/>
    <s v="Eastern"/>
    <x v="1"/>
  </r>
  <r>
    <n v="51"/>
    <s v="Pend Oreille County"/>
    <x v="11"/>
    <n v="1133"/>
    <n v="533"/>
    <n v="600"/>
    <n v="515"/>
    <n v="573"/>
    <n v="45"/>
    <s v="Eastern"/>
    <x v="1"/>
  </r>
  <r>
    <n v="51"/>
    <s v="Pend Oreille County"/>
    <x v="12"/>
    <n v="1184"/>
    <n v="614"/>
    <n v="570"/>
    <n v="596"/>
    <n v="553"/>
    <n v="35"/>
    <s v="Eastern"/>
    <x v="1"/>
  </r>
  <r>
    <n v="51"/>
    <s v="Pend Oreille County"/>
    <x v="13"/>
    <n v="1194"/>
    <n v="594"/>
    <n v="600"/>
    <n v="573"/>
    <n v="582"/>
    <n v="39"/>
    <s v="Eastern"/>
    <x v="1"/>
  </r>
  <r>
    <n v="51"/>
    <s v="Pend Oreille County"/>
    <x v="14"/>
    <n v="860"/>
    <n v="415"/>
    <n v="445"/>
    <n v="405"/>
    <n v="433"/>
    <n v="22"/>
    <s v="Eastern"/>
    <x v="1"/>
  </r>
  <r>
    <n v="51"/>
    <s v="Pend Oreille County"/>
    <x v="15"/>
    <n v="560"/>
    <n v="288"/>
    <n v="272"/>
    <n v="284"/>
    <n v="265"/>
    <n v="11"/>
    <s v="Eastern"/>
    <x v="1"/>
  </r>
  <r>
    <n v="51"/>
    <s v="Pend Oreille County"/>
    <x v="16"/>
    <n v="378"/>
    <n v="170"/>
    <n v="208"/>
    <n v="165"/>
    <n v="202"/>
    <n v="11"/>
    <s v="Eastern"/>
    <x v="1"/>
  </r>
  <r>
    <n v="51"/>
    <s v="Pend Oreille County"/>
    <x v="17"/>
    <n v="286"/>
    <n v="139"/>
    <n v="147"/>
    <n v="132"/>
    <n v="140"/>
    <n v="14"/>
    <s v="Eastern"/>
    <x v="1"/>
  </r>
  <r>
    <n v="51"/>
    <s v="Pend Oreille County"/>
    <x v="18"/>
    <n v="192"/>
    <n v="79"/>
    <n v="113"/>
    <n v="77"/>
    <n v="110"/>
    <n v="5"/>
    <s v="Eastern"/>
    <x v="1"/>
  </r>
  <r>
    <n v="53"/>
    <s v="Pierce County"/>
    <x v="0"/>
    <n v="796836"/>
    <n v="397043"/>
    <n v="399793"/>
    <n v="315535"/>
    <n v="316414"/>
    <n v="164887"/>
    <s v="Pierce"/>
    <x v="9"/>
  </r>
  <r>
    <n v="53"/>
    <s v="Pierce County"/>
    <x v="1"/>
    <n v="57009"/>
    <n v="29217"/>
    <n v="27792"/>
    <n v="20695"/>
    <n v="19712"/>
    <n v="16602"/>
    <s v="Pierce"/>
    <x v="9"/>
  </r>
  <r>
    <n v="53"/>
    <s v="Pierce County"/>
    <x v="2"/>
    <n v="53249"/>
    <n v="27293"/>
    <n v="25956"/>
    <n v="19860"/>
    <n v="18839"/>
    <n v="14550"/>
    <s v="Pierce"/>
    <x v="9"/>
  </r>
  <r>
    <n v="53"/>
    <s v="Pierce County"/>
    <x v="3"/>
    <n v="52941"/>
    <n v="26959"/>
    <n v="25982"/>
    <n v="19987"/>
    <n v="19187"/>
    <n v="13767"/>
    <s v="Pierce"/>
    <x v="9"/>
  </r>
  <r>
    <n v="53"/>
    <s v="Pierce County"/>
    <x v="4"/>
    <n v="55677"/>
    <n v="29112"/>
    <n v="26565"/>
    <n v="21825"/>
    <n v="19944"/>
    <n v="13908"/>
    <s v="Pierce"/>
    <x v="9"/>
  </r>
  <r>
    <n v="53"/>
    <s v="Pierce County"/>
    <x v="5"/>
    <n v="63027"/>
    <n v="33948"/>
    <n v="29079"/>
    <n v="25987"/>
    <n v="22164"/>
    <n v="14876"/>
    <s v="Pierce"/>
    <x v="9"/>
  </r>
  <r>
    <n v="53"/>
    <s v="Pierce County"/>
    <x v="6"/>
    <n v="63872"/>
    <n v="32416"/>
    <n v="31456"/>
    <n v="25134"/>
    <n v="24694"/>
    <n v="14044"/>
    <s v="Pierce"/>
    <x v="9"/>
  </r>
  <r>
    <n v="53"/>
    <s v="Pierce County"/>
    <x v="7"/>
    <n v="51287"/>
    <n v="25349"/>
    <n v="25938"/>
    <n v="20081"/>
    <n v="20584"/>
    <n v="10622"/>
    <s v="Pierce"/>
    <x v="9"/>
  </r>
  <r>
    <n v="53"/>
    <s v="Pierce County"/>
    <x v="8"/>
    <n v="53037"/>
    <n v="26617"/>
    <n v="26420"/>
    <n v="21145"/>
    <n v="20925"/>
    <n v="10967"/>
    <s v="Pierce"/>
    <x v="9"/>
  </r>
  <r>
    <n v="53"/>
    <s v="Pierce County"/>
    <x v="9"/>
    <n v="55210"/>
    <n v="27454"/>
    <n v="27756"/>
    <n v="22351"/>
    <n v="22386"/>
    <n v="10473"/>
    <s v="Pierce"/>
    <x v="9"/>
  </r>
  <r>
    <n v="53"/>
    <s v="Pierce County"/>
    <x v="10"/>
    <n v="60480"/>
    <n v="30091"/>
    <n v="30389"/>
    <n v="24911"/>
    <n v="24688"/>
    <n v="10881"/>
    <s v="Pierce"/>
    <x v="9"/>
  </r>
  <r>
    <n v="53"/>
    <s v="Pierce County"/>
    <x v="11"/>
    <n v="57709"/>
    <n v="28640"/>
    <n v="29069"/>
    <n v="23789"/>
    <n v="23756"/>
    <n v="10164"/>
    <s v="Pierce"/>
    <x v="9"/>
  </r>
  <r>
    <n v="53"/>
    <s v="Pierce County"/>
    <x v="12"/>
    <n v="48358"/>
    <n v="23625"/>
    <n v="24733"/>
    <n v="20125"/>
    <n v="20623"/>
    <n v="7610"/>
    <s v="Pierce"/>
    <x v="9"/>
  </r>
  <r>
    <n v="53"/>
    <s v="Pierce County"/>
    <x v="13"/>
    <n v="38806"/>
    <n v="18836"/>
    <n v="19970"/>
    <n v="16437"/>
    <n v="16945"/>
    <n v="5424"/>
    <s v="Pierce"/>
    <x v="9"/>
  </r>
  <r>
    <n v="53"/>
    <s v="Pierce County"/>
    <x v="14"/>
    <n v="27434"/>
    <n v="13222"/>
    <n v="14212"/>
    <n v="11609"/>
    <n v="12044"/>
    <n v="3781"/>
    <s v="Pierce"/>
    <x v="9"/>
  </r>
  <r>
    <n v="53"/>
    <s v="Pierce County"/>
    <x v="15"/>
    <n v="19907"/>
    <n v="9082"/>
    <n v="10825"/>
    <n v="7975"/>
    <n v="9135"/>
    <n v="2797"/>
    <s v="Pierce"/>
    <x v="9"/>
  </r>
  <r>
    <n v="53"/>
    <s v="Pierce County"/>
    <x v="16"/>
    <n v="15920"/>
    <n v="7000"/>
    <n v="8920"/>
    <n v="6194"/>
    <n v="7536"/>
    <n v="2190"/>
    <s v="Pierce"/>
    <x v="9"/>
  </r>
  <r>
    <n v="53"/>
    <s v="Pierce County"/>
    <x v="17"/>
    <n v="11939"/>
    <n v="4692"/>
    <n v="7247"/>
    <n v="4200"/>
    <n v="6356"/>
    <n v="1383"/>
    <s v="Pierce"/>
    <x v="9"/>
  </r>
  <r>
    <n v="53"/>
    <s v="Pierce County"/>
    <x v="18"/>
    <n v="10974"/>
    <n v="3490"/>
    <n v="7484"/>
    <n v="3230"/>
    <n v="6896"/>
    <n v="848"/>
    <s v="Pierce"/>
    <x v="9"/>
  </r>
  <r>
    <n v="55"/>
    <s v="San Juan County"/>
    <x v="0"/>
    <n v="15484"/>
    <n v="7629"/>
    <n v="7855"/>
    <n v="7321"/>
    <n v="7516"/>
    <n v="647"/>
    <s v="Northwest"/>
    <x v="6"/>
  </r>
  <r>
    <n v="55"/>
    <s v="San Juan County"/>
    <x v="1"/>
    <n v="598"/>
    <n v="299"/>
    <n v="299"/>
    <n v="268"/>
    <n v="265"/>
    <n v="65"/>
    <s v="Northwest"/>
    <x v="6"/>
  </r>
  <r>
    <n v="55"/>
    <s v="San Juan County"/>
    <x v="2"/>
    <n v="599"/>
    <n v="305"/>
    <n v="294"/>
    <n v="291"/>
    <n v="266"/>
    <n v="42"/>
    <s v="Northwest"/>
    <x v="6"/>
  </r>
  <r>
    <n v="55"/>
    <s v="San Juan County"/>
    <x v="3"/>
    <n v="751"/>
    <n v="391"/>
    <n v="360"/>
    <n v="360"/>
    <n v="337"/>
    <n v="54"/>
    <s v="Northwest"/>
    <x v="6"/>
  </r>
  <r>
    <n v="55"/>
    <s v="San Juan County"/>
    <x v="4"/>
    <n v="790"/>
    <n v="404"/>
    <n v="386"/>
    <n v="372"/>
    <n v="356"/>
    <n v="62"/>
    <s v="Northwest"/>
    <x v="6"/>
  </r>
  <r>
    <n v="55"/>
    <s v="San Juan County"/>
    <x v="5"/>
    <n v="678"/>
    <n v="358"/>
    <n v="320"/>
    <n v="326"/>
    <n v="294"/>
    <n v="58"/>
    <s v="Northwest"/>
    <x v="6"/>
  </r>
  <r>
    <n v="55"/>
    <s v="San Juan County"/>
    <x v="6"/>
    <n v="542"/>
    <n v="310"/>
    <n v="232"/>
    <n v="287"/>
    <n v="208"/>
    <n v="47"/>
    <s v="Northwest"/>
    <x v="6"/>
  </r>
  <r>
    <n v="55"/>
    <s v="San Juan County"/>
    <x v="7"/>
    <n v="480"/>
    <n v="247"/>
    <n v="233"/>
    <n v="232"/>
    <n v="213"/>
    <n v="35"/>
    <s v="Northwest"/>
    <x v="6"/>
  </r>
  <r>
    <n v="55"/>
    <s v="San Juan County"/>
    <x v="8"/>
    <n v="665"/>
    <n v="346"/>
    <n v="319"/>
    <n v="331"/>
    <n v="302"/>
    <n v="32"/>
    <s v="Northwest"/>
    <x v="6"/>
  </r>
  <r>
    <n v="55"/>
    <s v="San Juan County"/>
    <x v="9"/>
    <n v="705"/>
    <n v="345"/>
    <n v="360"/>
    <n v="328"/>
    <n v="346"/>
    <n v="31"/>
    <s v="Northwest"/>
    <x v="6"/>
  </r>
  <r>
    <n v="55"/>
    <s v="San Juan County"/>
    <x v="10"/>
    <n v="1131"/>
    <n v="540"/>
    <n v="591"/>
    <n v="523"/>
    <n v="573"/>
    <n v="35"/>
    <s v="Northwest"/>
    <x v="6"/>
  </r>
  <r>
    <n v="55"/>
    <s v="San Juan County"/>
    <x v="11"/>
    <n v="1465"/>
    <n v="687"/>
    <n v="778"/>
    <n v="674"/>
    <n v="755"/>
    <n v="36"/>
    <s v="Northwest"/>
    <x v="6"/>
  </r>
  <r>
    <n v="55"/>
    <s v="San Juan County"/>
    <x v="12"/>
    <n v="1737"/>
    <n v="832"/>
    <n v="905"/>
    <n v="814"/>
    <n v="874"/>
    <n v="49"/>
    <s v="Northwest"/>
    <x v="6"/>
  </r>
  <r>
    <n v="55"/>
    <s v="San Juan County"/>
    <x v="13"/>
    <n v="1752"/>
    <n v="818"/>
    <n v="934"/>
    <n v="804"/>
    <n v="920"/>
    <n v="28"/>
    <s v="Northwest"/>
    <x v="6"/>
  </r>
  <r>
    <n v="55"/>
    <s v="San Juan County"/>
    <x v="14"/>
    <n v="1282"/>
    <n v="632"/>
    <n v="650"/>
    <n v="620"/>
    <n v="641"/>
    <n v="21"/>
    <s v="Northwest"/>
    <x v="6"/>
  </r>
  <r>
    <n v="55"/>
    <s v="San Juan County"/>
    <x v="15"/>
    <n v="843"/>
    <n v="414"/>
    <n v="429"/>
    <n v="405"/>
    <n v="425"/>
    <n v="13"/>
    <s v="Northwest"/>
    <x v="6"/>
  </r>
  <r>
    <n v="55"/>
    <s v="San Juan County"/>
    <x v="16"/>
    <n v="570"/>
    <n v="315"/>
    <n v="255"/>
    <n v="307"/>
    <n v="244"/>
    <n v="19"/>
    <s v="Northwest"/>
    <x v="6"/>
  </r>
  <r>
    <n v="55"/>
    <s v="San Juan County"/>
    <x v="17"/>
    <n v="415"/>
    <n v="194"/>
    <n v="221"/>
    <n v="192"/>
    <n v="217"/>
    <n v="6"/>
    <s v="Northwest"/>
    <x v="6"/>
  </r>
  <r>
    <n v="55"/>
    <s v="San Juan County"/>
    <x v="18"/>
    <n v="481"/>
    <n v="192"/>
    <n v="289"/>
    <n v="187"/>
    <n v="280"/>
    <n v="14"/>
    <s v="Northwest"/>
    <x v="6"/>
  </r>
  <r>
    <n v="57"/>
    <s v="Skagit County"/>
    <x v="0"/>
    <n v="119534"/>
    <n v="59265"/>
    <n v="60269"/>
    <n v="55124"/>
    <n v="55850"/>
    <n v="8560"/>
    <s v="Northwest"/>
    <x v="6"/>
  </r>
  <r>
    <n v="57"/>
    <s v="Skagit County"/>
    <x v="1"/>
    <n v="8112"/>
    <n v="4186"/>
    <n v="3926"/>
    <n v="3652"/>
    <n v="3398"/>
    <n v="1062"/>
    <s v="Northwest"/>
    <x v="6"/>
  </r>
  <r>
    <n v="57"/>
    <s v="Skagit County"/>
    <x v="2"/>
    <n v="7507"/>
    <n v="3837"/>
    <n v="3670"/>
    <n v="3403"/>
    <n v="3271"/>
    <n v="833"/>
    <s v="Northwest"/>
    <x v="6"/>
  </r>
  <r>
    <n v="57"/>
    <s v="Skagit County"/>
    <x v="3"/>
    <n v="7704"/>
    <n v="3897"/>
    <n v="3807"/>
    <n v="3558"/>
    <n v="3451"/>
    <n v="695"/>
    <s v="Northwest"/>
    <x v="6"/>
  </r>
  <r>
    <n v="57"/>
    <s v="Skagit County"/>
    <x v="4"/>
    <n v="8210"/>
    <n v="4255"/>
    <n v="3955"/>
    <n v="3835"/>
    <n v="3569"/>
    <n v="806"/>
    <s v="Northwest"/>
    <x v="6"/>
  </r>
  <r>
    <n v="57"/>
    <s v="Skagit County"/>
    <x v="5"/>
    <n v="7300"/>
    <n v="3741"/>
    <n v="3559"/>
    <n v="3409"/>
    <n v="3204"/>
    <n v="687"/>
    <s v="Northwest"/>
    <x v="6"/>
  </r>
  <r>
    <n v="57"/>
    <s v="Skagit County"/>
    <x v="6"/>
    <n v="8412"/>
    <n v="4349"/>
    <n v="4063"/>
    <n v="4010"/>
    <n v="3693"/>
    <n v="709"/>
    <s v="Northwest"/>
    <x v="6"/>
  </r>
  <r>
    <n v="57"/>
    <s v="Skagit County"/>
    <x v="7"/>
    <n v="6636"/>
    <n v="3376"/>
    <n v="3260"/>
    <n v="3069"/>
    <n v="2960"/>
    <n v="607"/>
    <s v="Northwest"/>
    <x v="6"/>
  </r>
  <r>
    <n v="57"/>
    <s v="Skagit County"/>
    <x v="8"/>
    <n v="7058"/>
    <n v="3549"/>
    <n v="3509"/>
    <n v="3280"/>
    <n v="3233"/>
    <n v="545"/>
    <s v="Northwest"/>
    <x v="6"/>
  </r>
  <r>
    <n v="57"/>
    <s v="Skagit County"/>
    <x v="9"/>
    <n v="7241"/>
    <n v="3595"/>
    <n v="3646"/>
    <n v="3341"/>
    <n v="3404"/>
    <n v="496"/>
    <s v="Northwest"/>
    <x v="6"/>
  </r>
  <r>
    <n v="57"/>
    <s v="Skagit County"/>
    <x v="10"/>
    <n v="8444"/>
    <n v="4204"/>
    <n v="4240"/>
    <n v="3998"/>
    <n v="3973"/>
    <n v="473"/>
    <s v="Northwest"/>
    <x v="6"/>
  </r>
  <r>
    <n v="57"/>
    <s v="Skagit County"/>
    <x v="11"/>
    <n v="8459"/>
    <n v="4064"/>
    <n v="4395"/>
    <n v="3889"/>
    <n v="4154"/>
    <n v="416"/>
    <s v="Northwest"/>
    <x v="6"/>
  </r>
  <r>
    <n v="57"/>
    <s v="Skagit County"/>
    <x v="12"/>
    <n v="8526"/>
    <n v="4216"/>
    <n v="4310"/>
    <n v="4048"/>
    <n v="4101"/>
    <n v="377"/>
    <s v="Northwest"/>
    <x v="6"/>
  </r>
  <r>
    <n v="57"/>
    <s v="Skagit County"/>
    <x v="13"/>
    <n v="7487"/>
    <n v="3664"/>
    <n v="3823"/>
    <n v="3549"/>
    <n v="3666"/>
    <n v="272"/>
    <s v="Northwest"/>
    <x v="6"/>
  </r>
  <r>
    <n v="57"/>
    <s v="Skagit County"/>
    <x v="14"/>
    <n v="5736"/>
    <n v="2782"/>
    <n v="2954"/>
    <n v="2703"/>
    <n v="2830"/>
    <n v="203"/>
    <s v="Northwest"/>
    <x v="6"/>
  </r>
  <r>
    <n v="57"/>
    <s v="Skagit County"/>
    <x v="15"/>
    <n v="4180"/>
    <n v="2003"/>
    <n v="2177"/>
    <n v="1933"/>
    <n v="2108"/>
    <n v="139"/>
    <s v="Northwest"/>
    <x v="6"/>
  </r>
  <r>
    <n v="57"/>
    <s v="Skagit County"/>
    <x v="16"/>
    <n v="3296"/>
    <n v="1503"/>
    <n v="1793"/>
    <n v="1468"/>
    <n v="1725"/>
    <n v="103"/>
    <s v="Northwest"/>
    <x v="6"/>
  </r>
  <r>
    <n v="57"/>
    <s v="Skagit County"/>
    <x v="17"/>
    <n v="2634"/>
    <n v="1145"/>
    <n v="1489"/>
    <n v="1109"/>
    <n v="1449"/>
    <n v="76"/>
    <s v="Northwest"/>
    <x v="6"/>
  </r>
  <r>
    <n v="57"/>
    <s v="Skagit County"/>
    <x v="18"/>
    <n v="2592"/>
    <n v="899"/>
    <n v="1693"/>
    <n v="870"/>
    <n v="1661"/>
    <n v="61"/>
    <s v="Northwest"/>
    <x v="6"/>
  </r>
  <r>
    <n v="59"/>
    <s v="Skamania County"/>
    <x v="0"/>
    <n v="10894"/>
    <n v="5478"/>
    <n v="5416"/>
    <n v="5171"/>
    <n v="5111"/>
    <n v="612"/>
    <s v="South Central"/>
    <x v="8"/>
  </r>
  <r>
    <n v="59"/>
    <s v="Skamania County"/>
    <x v="1"/>
    <n v="553"/>
    <n v="279"/>
    <n v="274"/>
    <n v="251"/>
    <n v="245"/>
    <n v="57"/>
    <s v="South Central"/>
    <x v="8"/>
  </r>
  <r>
    <n v="59"/>
    <s v="Skamania County"/>
    <x v="2"/>
    <n v="665"/>
    <n v="337"/>
    <n v="328"/>
    <n v="315"/>
    <n v="301"/>
    <n v="49"/>
    <s v="South Central"/>
    <x v="8"/>
  </r>
  <r>
    <n v="59"/>
    <s v="Skamania County"/>
    <x v="3"/>
    <n v="763"/>
    <n v="378"/>
    <n v="385"/>
    <n v="353"/>
    <n v="355"/>
    <n v="55"/>
    <s v="South Central"/>
    <x v="8"/>
  </r>
  <r>
    <n v="59"/>
    <s v="Skamania County"/>
    <x v="4"/>
    <n v="711"/>
    <n v="364"/>
    <n v="347"/>
    <n v="335"/>
    <n v="322"/>
    <n v="54"/>
    <s v="South Central"/>
    <x v="8"/>
  </r>
  <r>
    <n v="59"/>
    <s v="Skamania County"/>
    <x v="5"/>
    <n v="547"/>
    <n v="308"/>
    <n v="239"/>
    <n v="269"/>
    <n v="214"/>
    <n v="64"/>
    <s v="South Central"/>
    <x v="8"/>
  </r>
  <r>
    <n v="59"/>
    <s v="Skamania County"/>
    <x v="6"/>
    <n v="562"/>
    <n v="292"/>
    <n v="270"/>
    <n v="272"/>
    <n v="247"/>
    <n v="43"/>
    <s v="South Central"/>
    <x v="8"/>
  </r>
  <r>
    <n v="59"/>
    <s v="Skamania County"/>
    <x v="7"/>
    <n v="536"/>
    <n v="284"/>
    <n v="252"/>
    <n v="269"/>
    <n v="245"/>
    <n v="22"/>
    <s v="South Central"/>
    <x v="8"/>
  </r>
  <r>
    <n v="59"/>
    <s v="Skamania County"/>
    <x v="8"/>
    <n v="623"/>
    <n v="306"/>
    <n v="317"/>
    <n v="287"/>
    <n v="301"/>
    <n v="35"/>
    <s v="South Central"/>
    <x v="8"/>
  </r>
  <r>
    <n v="59"/>
    <s v="Skamania County"/>
    <x v="9"/>
    <n v="740"/>
    <n v="358"/>
    <n v="382"/>
    <n v="348"/>
    <n v="367"/>
    <n v="25"/>
    <s v="South Central"/>
    <x v="8"/>
  </r>
  <r>
    <n v="59"/>
    <s v="Skamania County"/>
    <x v="10"/>
    <n v="993"/>
    <n v="500"/>
    <n v="493"/>
    <n v="481"/>
    <n v="468"/>
    <n v="44"/>
    <s v="South Central"/>
    <x v="8"/>
  </r>
  <r>
    <n v="59"/>
    <s v="Skamania County"/>
    <x v="11"/>
    <n v="997"/>
    <n v="493"/>
    <n v="504"/>
    <n v="475"/>
    <n v="481"/>
    <n v="41"/>
    <s v="South Central"/>
    <x v="8"/>
  </r>
  <r>
    <n v="59"/>
    <s v="Skamania County"/>
    <x v="12"/>
    <n v="978"/>
    <n v="478"/>
    <n v="500"/>
    <n v="458"/>
    <n v="479"/>
    <n v="41"/>
    <s v="South Central"/>
    <x v="8"/>
  </r>
  <r>
    <n v="59"/>
    <s v="Skamania County"/>
    <x v="13"/>
    <n v="815"/>
    <n v="423"/>
    <n v="392"/>
    <n v="407"/>
    <n v="373"/>
    <n v="35"/>
    <s v="South Central"/>
    <x v="8"/>
  </r>
  <r>
    <n v="59"/>
    <s v="Skamania County"/>
    <x v="14"/>
    <n v="548"/>
    <n v="280"/>
    <n v="268"/>
    <n v="271"/>
    <n v="262"/>
    <n v="15"/>
    <s v="South Central"/>
    <x v="8"/>
  </r>
  <r>
    <n v="59"/>
    <s v="Skamania County"/>
    <x v="15"/>
    <n v="313"/>
    <n v="158"/>
    <n v="155"/>
    <n v="151"/>
    <n v="151"/>
    <n v="11"/>
    <s v="South Central"/>
    <x v="8"/>
  </r>
  <r>
    <n v="59"/>
    <s v="Skamania County"/>
    <x v="16"/>
    <n v="241"/>
    <n v="109"/>
    <n v="132"/>
    <n v="101"/>
    <n v="129"/>
    <n v="11"/>
    <s v="South Central"/>
    <x v="8"/>
  </r>
  <r>
    <n v="59"/>
    <s v="Skamania County"/>
    <x v="17"/>
    <n v="161"/>
    <n v="71"/>
    <n v="90"/>
    <n v="70"/>
    <n v="87"/>
    <n v="4"/>
    <s v="South Central"/>
    <x v="8"/>
  </r>
  <r>
    <n v="59"/>
    <s v="Skamania County"/>
    <x v="18"/>
    <n v="148"/>
    <n v="60"/>
    <n v="88"/>
    <n v="58"/>
    <n v="84"/>
    <n v="6"/>
    <s v="South Central"/>
    <x v="8"/>
  </r>
  <r>
    <n v="61"/>
    <s v="Snohomish County"/>
    <x v="0"/>
    <n v="694571"/>
    <n v="347949"/>
    <n v="346622"/>
    <n v="292470"/>
    <n v="289606"/>
    <n v="112495"/>
    <s v="Snohomish"/>
    <x v="10"/>
  </r>
  <r>
    <n v="61"/>
    <s v="Snohomish County"/>
    <x v="1"/>
    <n v="48184"/>
    <n v="24478"/>
    <n v="23706"/>
    <n v="18834"/>
    <n v="18045"/>
    <n v="11305"/>
    <s v="Snohomish"/>
    <x v="10"/>
  </r>
  <r>
    <n v="61"/>
    <s v="Snohomish County"/>
    <x v="2"/>
    <n v="46667"/>
    <n v="23757"/>
    <n v="22910"/>
    <n v="18717"/>
    <n v="17925"/>
    <n v="10025"/>
    <s v="Snohomish"/>
    <x v="10"/>
  </r>
  <r>
    <n v="61"/>
    <s v="Snohomish County"/>
    <x v="3"/>
    <n v="46672"/>
    <n v="23844"/>
    <n v="22828"/>
    <n v="19314"/>
    <n v="18454"/>
    <n v="8904"/>
    <s v="Snohomish"/>
    <x v="10"/>
  </r>
  <r>
    <n v="61"/>
    <s v="Snohomish County"/>
    <x v="4"/>
    <n v="46503"/>
    <n v="24214"/>
    <n v="22289"/>
    <n v="20100"/>
    <n v="18454"/>
    <n v="7949"/>
    <s v="Snohomish"/>
    <x v="10"/>
  </r>
  <r>
    <n v="61"/>
    <s v="Snohomish County"/>
    <x v="5"/>
    <n v="43672"/>
    <n v="22941"/>
    <n v="20731"/>
    <n v="19072"/>
    <n v="17176"/>
    <n v="7424"/>
    <s v="Snohomish"/>
    <x v="10"/>
  </r>
  <r>
    <n v="61"/>
    <s v="Snohomish County"/>
    <x v="6"/>
    <n v="50911"/>
    <n v="25947"/>
    <n v="24964"/>
    <n v="21256"/>
    <n v="20260"/>
    <n v="9395"/>
    <s v="Snohomish"/>
    <x v="10"/>
  </r>
  <r>
    <n v="61"/>
    <s v="Snohomish County"/>
    <x v="7"/>
    <n v="47977"/>
    <n v="24550"/>
    <n v="23427"/>
    <n v="19764"/>
    <n v="18679"/>
    <n v="9534"/>
    <s v="Snohomish"/>
    <x v="10"/>
  </r>
  <r>
    <n v="61"/>
    <s v="Snohomish County"/>
    <x v="8"/>
    <n v="51082"/>
    <n v="25732"/>
    <n v="25350"/>
    <n v="20994"/>
    <n v="20506"/>
    <n v="9582"/>
    <s v="Snohomish"/>
    <x v="10"/>
  </r>
  <r>
    <n v="61"/>
    <s v="Snohomish County"/>
    <x v="9"/>
    <n v="52693"/>
    <n v="26766"/>
    <n v="25927"/>
    <n v="22573"/>
    <n v="21713"/>
    <n v="8407"/>
    <s v="Snohomish"/>
    <x v="10"/>
  </r>
  <r>
    <n v="61"/>
    <s v="Snohomish County"/>
    <x v="10"/>
    <n v="58296"/>
    <n v="29600"/>
    <n v="28696"/>
    <n v="25781"/>
    <n v="24632"/>
    <n v="7883"/>
    <s v="Snohomish"/>
    <x v="10"/>
  </r>
  <r>
    <n v="61"/>
    <s v="Snohomish County"/>
    <x v="11"/>
    <n v="54475"/>
    <n v="27387"/>
    <n v="27088"/>
    <n v="24171"/>
    <n v="23639"/>
    <n v="6665"/>
    <s v="Snohomish"/>
    <x v="10"/>
  </r>
  <r>
    <n v="61"/>
    <s v="Snohomish County"/>
    <x v="12"/>
    <n v="44750"/>
    <n v="22043"/>
    <n v="22707"/>
    <n v="19646"/>
    <n v="19998"/>
    <n v="5106"/>
    <s v="Snohomish"/>
    <x v="10"/>
  </r>
  <r>
    <n v="61"/>
    <s v="Snohomish County"/>
    <x v="13"/>
    <n v="34325"/>
    <n v="16578"/>
    <n v="17747"/>
    <n v="14944"/>
    <n v="15622"/>
    <n v="3759"/>
    <s v="Snohomish"/>
    <x v="10"/>
  </r>
  <r>
    <n v="61"/>
    <s v="Snohomish County"/>
    <x v="14"/>
    <n v="22334"/>
    <n v="10862"/>
    <n v="11472"/>
    <n v="9738"/>
    <n v="10092"/>
    <n v="2504"/>
    <s v="Snohomish"/>
    <x v="10"/>
  </r>
  <r>
    <n v="61"/>
    <s v="Snohomish County"/>
    <x v="15"/>
    <n v="15468"/>
    <n v="7244"/>
    <n v="8224"/>
    <n v="6445"/>
    <n v="7251"/>
    <n v="1772"/>
    <s v="Snohomish"/>
    <x v="10"/>
  </r>
  <r>
    <n v="61"/>
    <s v="Snohomish County"/>
    <x v="16"/>
    <n v="11975"/>
    <n v="5259"/>
    <n v="6716"/>
    <n v="4793"/>
    <n v="6092"/>
    <n v="1090"/>
    <s v="Snohomish"/>
    <x v="10"/>
  </r>
  <r>
    <n v="61"/>
    <s v="Snohomish County"/>
    <x v="17"/>
    <n v="9194"/>
    <n v="3650"/>
    <n v="5544"/>
    <n v="3410"/>
    <n v="5107"/>
    <n v="677"/>
    <s v="Snohomish"/>
    <x v="10"/>
  </r>
  <r>
    <n v="61"/>
    <s v="Snohomish County"/>
    <x v="18"/>
    <n v="9393"/>
    <n v="3097"/>
    <n v="6296"/>
    <n v="2918"/>
    <n v="5961"/>
    <n v="514"/>
    <s v="Snohomish"/>
    <x v="10"/>
  </r>
  <r>
    <n v="63"/>
    <s v="Spokane County"/>
    <x v="0"/>
    <n v="468684"/>
    <n v="230971"/>
    <n v="237713"/>
    <n v="210790"/>
    <n v="217354"/>
    <n v="40540"/>
    <s v="Spokane"/>
    <x v="11"/>
  </r>
  <r>
    <n v="63"/>
    <s v="Spokane County"/>
    <x v="1"/>
    <n v="30669"/>
    <n v="15703"/>
    <n v="14966"/>
    <n v="13420"/>
    <n v="12761"/>
    <n v="4488"/>
    <s v="Spokane"/>
    <x v="11"/>
  </r>
  <r>
    <n v="63"/>
    <s v="Spokane County"/>
    <x v="2"/>
    <n v="29429"/>
    <n v="15104"/>
    <n v="14325"/>
    <n v="13132"/>
    <n v="12351"/>
    <n v="3946"/>
    <s v="Spokane"/>
    <x v="11"/>
  </r>
  <r>
    <n v="63"/>
    <s v="Spokane County"/>
    <x v="3"/>
    <n v="29867"/>
    <n v="15385"/>
    <n v="14482"/>
    <n v="13614"/>
    <n v="12799"/>
    <n v="3454"/>
    <s v="Spokane"/>
    <x v="11"/>
  </r>
  <r>
    <n v="63"/>
    <s v="Spokane County"/>
    <x v="4"/>
    <n v="32725"/>
    <n v="16436"/>
    <n v="16289"/>
    <n v="14742"/>
    <n v="14345"/>
    <n v="3638"/>
    <s v="Spokane"/>
    <x v="11"/>
  </r>
  <r>
    <n v="63"/>
    <s v="Spokane County"/>
    <x v="5"/>
    <n v="34733"/>
    <n v="17866"/>
    <n v="16867"/>
    <n v="15931"/>
    <n v="15093"/>
    <n v="3709"/>
    <s v="Spokane"/>
    <x v="11"/>
  </r>
  <r>
    <n v="63"/>
    <s v="Spokane County"/>
    <x v="6"/>
    <n v="37605"/>
    <n v="19255"/>
    <n v="18350"/>
    <n v="17497"/>
    <n v="16616"/>
    <n v="3492"/>
    <s v="Spokane"/>
    <x v="11"/>
  </r>
  <r>
    <n v="63"/>
    <s v="Spokane County"/>
    <x v="7"/>
    <n v="30882"/>
    <n v="15563"/>
    <n v="15319"/>
    <n v="13981"/>
    <n v="13899"/>
    <n v="3002"/>
    <s v="Spokane"/>
    <x v="11"/>
  </r>
  <r>
    <n v="63"/>
    <s v="Spokane County"/>
    <x v="8"/>
    <n v="28725"/>
    <n v="14640"/>
    <n v="14085"/>
    <n v="13293"/>
    <n v="12817"/>
    <n v="2615"/>
    <s v="Spokane"/>
    <x v="11"/>
  </r>
  <r>
    <n v="63"/>
    <s v="Spokane County"/>
    <x v="9"/>
    <n v="29169"/>
    <n v="14746"/>
    <n v="14423"/>
    <n v="13576"/>
    <n v="13376"/>
    <n v="2217"/>
    <s v="Spokane"/>
    <x v="11"/>
  </r>
  <r>
    <n v="63"/>
    <s v="Spokane County"/>
    <x v="10"/>
    <n v="33831"/>
    <n v="16593"/>
    <n v="17238"/>
    <n v="15513"/>
    <n v="16049"/>
    <n v="2269"/>
    <s v="Spokane"/>
    <x v="11"/>
  </r>
  <r>
    <n v="63"/>
    <s v="Spokane County"/>
    <x v="11"/>
    <n v="33851"/>
    <n v="16595"/>
    <n v="17256"/>
    <n v="15576"/>
    <n v="16177"/>
    <n v="2098"/>
    <s v="Spokane"/>
    <x v="11"/>
  </r>
  <r>
    <n v="63"/>
    <s v="Spokane County"/>
    <x v="12"/>
    <n v="31046"/>
    <n v="15051"/>
    <n v="15995"/>
    <n v="14201"/>
    <n v="15066"/>
    <n v="1779"/>
    <s v="Spokane"/>
    <x v="11"/>
  </r>
  <r>
    <n v="63"/>
    <s v="Spokane County"/>
    <x v="13"/>
    <n v="25200"/>
    <n v="12328"/>
    <n v="12872"/>
    <n v="11700"/>
    <n v="12196"/>
    <n v="1304"/>
    <s v="Spokane"/>
    <x v="11"/>
  </r>
  <r>
    <n v="63"/>
    <s v="Spokane County"/>
    <x v="14"/>
    <n v="17795"/>
    <n v="8422"/>
    <n v="9373"/>
    <n v="7997"/>
    <n v="8931"/>
    <n v="867"/>
    <s v="Spokane"/>
    <x v="11"/>
  </r>
  <r>
    <n v="63"/>
    <s v="Spokane County"/>
    <x v="15"/>
    <n v="13534"/>
    <n v="6119"/>
    <n v="7415"/>
    <n v="5859"/>
    <n v="7080"/>
    <n v="595"/>
    <s v="Spokane"/>
    <x v="11"/>
  </r>
  <r>
    <n v="63"/>
    <s v="Spokane County"/>
    <x v="16"/>
    <n v="11324"/>
    <n v="4913"/>
    <n v="6411"/>
    <n v="4710"/>
    <n v="6106"/>
    <n v="508"/>
    <s v="Spokane"/>
    <x v="11"/>
  </r>
  <r>
    <n v="63"/>
    <s v="Spokane County"/>
    <x v="17"/>
    <n v="8751"/>
    <n v="3329"/>
    <n v="5422"/>
    <n v="3226"/>
    <n v="5259"/>
    <n v="266"/>
    <s v="Spokane"/>
    <x v="11"/>
  </r>
  <r>
    <n v="63"/>
    <s v="Spokane County"/>
    <x v="18"/>
    <n v="9548"/>
    <n v="2923"/>
    <n v="6625"/>
    <n v="2822"/>
    <n v="6433"/>
    <n v="293"/>
    <s v="Spokane"/>
    <x v="11"/>
  </r>
  <r>
    <n v="65"/>
    <s v="Stevens County"/>
    <x v="0"/>
    <n v="42334"/>
    <n v="21074"/>
    <n v="21260"/>
    <n v="19013"/>
    <n v="19180"/>
    <n v="4141"/>
    <s v="Eastern"/>
    <x v="1"/>
  </r>
  <r>
    <n v="65"/>
    <s v="Stevens County"/>
    <x v="1"/>
    <n v="2561"/>
    <n v="1345"/>
    <n v="1216"/>
    <n v="1104"/>
    <n v="1024"/>
    <n v="433"/>
    <s v="Eastern"/>
    <x v="1"/>
  </r>
  <r>
    <n v="65"/>
    <s v="Stevens County"/>
    <x v="2"/>
    <n v="2615"/>
    <n v="1314"/>
    <n v="1301"/>
    <n v="1107"/>
    <n v="1098"/>
    <n v="410"/>
    <s v="Eastern"/>
    <x v="1"/>
  </r>
  <r>
    <n v="65"/>
    <s v="Stevens County"/>
    <x v="3"/>
    <n v="3033"/>
    <n v="1511"/>
    <n v="1522"/>
    <n v="1313"/>
    <n v="1304"/>
    <n v="416"/>
    <s v="Eastern"/>
    <x v="1"/>
  </r>
  <r>
    <n v="65"/>
    <s v="Stevens County"/>
    <x v="4"/>
    <n v="3263"/>
    <n v="1673"/>
    <n v="1590"/>
    <n v="1465"/>
    <n v="1395"/>
    <n v="403"/>
    <s v="Eastern"/>
    <x v="1"/>
  </r>
  <r>
    <n v="65"/>
    <s v="Stevens County"/>
    <x v="5"/>
    <n v="2042"/>
    <n v="1138"/>
    <n v="904"/>
    <n v="969"/>
    <n v="756"/>
    <n v="317"/>
    <s v="Eastern"/>
    <x v="1"/>
  </r>
  <r>
    <n v="65"/>
    <s v="Stevens County"/>
    <x v="6"/>
    <n v="1701"/>
    <n v="960"/>
    <n v="741"/>
    <n v="853"/>
    <n v="642"/>
    <n v="206"/>
    <s v="Eastern"/>
    <x v="1"/>
  </r>
  <r>
    <n v="65"/>
    <s v="Stevens County"/>
    <x v="7"/>
    <n v="1567"/>
    <n v="801"/>
    <n v="766"/>
    <n v="701"/>
    <n v="657"/>
    <n v="209"/>
    <s v="Eastern"/>
    <x v="1"/>
  </r>
  <r>
    <n v="65"/>
    <s v="Stevens County"/>
    <x v="8"/>
    <n v="2099"/>
    <n v="1009"/>
    <n v="1090"/>
    <n v="891"/>
    <n v="979"/>
    <n v="229"/>
    <s v="Eastern"/>
    <x v="1"/>
  </r>
  <r>
    <n v="65"/>
    <s v="Stevens County"/>
    <x v="9"/>
    <n v="2542"/>
    <n v="1204"/>
    <n v="1338"/>
    <n v="1105"/>
    <n v="1224"/>
    <n v="213"/>
    <s v="Eastern"/>
    <x v="1"/>
  </r>
  <r>
    <n v="65"/>
    <s v="Stevens County"/>
    <x v="10"/>
    <n v="3257"/>
    <n v="1620"/>
    <n v="1637"/>
    <n v="1494"/>
    <n v="1487"/>
    <n v="276"/>
    <s v="Eastern"/>
    <x v="1"/>
  </r>
  <r>
    <n v="65"/>
    <s v="Stevens County"/>
    <x v="11"/>
    <n v="3791"/>
    <n v="1812"/>
    <n v="1979"/>
    <n v="1684"/>
    <n v="1838"/>
    <n v="269"/>
    <s v="Eastern"/>
    <x v="1"/>
  </r>
  <r>
    <n v="65"/>
    <s v="Stevens County"/>
    <x v="12"/>
    <n v="3689"/>
    <n v="1808"/>
    <n v="1881"/>
    <n v="1694"/>
    <n v="1780"/>
    <n v="215"/>
    <s v="Eastern"/>
    <x v="1"/>
  </r>
  <r>
    <n v="65"/>
    <s v="Stevens County"/>
    <x v="13"/>
    <n v="3209"/>
    <n v="1615"/>
    <n v="1594"/>
    <n v="1537"/>
    <n v="1507"/>
    <n v="165"/>
    <s v="Eastern"/>
    <x v="1"/>
  </r>
  <r>
    <n v="65"/>
    <s v="Stevens County"/>
    <x v="14"/>
    <n v="2517"/>
    <n v="1252"/>
    <n v="1265"/>
    <n v="1179"/>
    <n v="1197"/>
    <n v="141"/>
    <s v="Eastern"/>
    <x v="1"/>
  </r>
  <r>
    <n v="65"/>
    <s v="Stevens County"/>
    <x v="15"/>
    <n v="1757"/>
    <n v="860"/>
    <n v="897"/>
    <n v="817"/>
    <n v="853"/>
    <n v="87"/>
    <s v="Eastern"/>
    <x v="1"/>
  </r>
  <r>
    <n v="65"/>
    <s v="Stevens County"/>
    <x v="16"/>
    <n v="1183"/>
    <n v="575"/>
    <n v="608"/>
    <n v="555"/>
    <n v="561"/>
    <n v="67"/>
    <s v="Eastern"/>
    <x v="1"/>
  </r>
  <r>
    <n v="65"/>
    <s v="Stevens County"/>
    <x v="17"/>
    <n v="769"/>
    <n v="334"/>
    <n v="435"/>
    <n v="317"/>
    <n v="400"/>
    <n v="52"/>
    <s v="Eastern"/>
    <x v="1"/>
  </r>
  <r>
    <n v="65"/>
    <s v="Stevens County"/>
    <x v="18"/>
    <n v="739"/>
    <n v="243"/>
    <n v="496"/>
    <n v="228"/>
    <n v="478"/>
    <n v="33"/>
    <s v="Eastern"/>
    <x v="1"/>
  </r>
  <r>
    <n v="67"/>
    <s v="Thurston County"/>
    <x v="0"/>
    <n v="250979"/>
    <n v="123634"/>
    <n v="127345"/>
    <n v="105973"/>
    <n v="109546"/>
    <n v="35460"/>
    <s v="PacMtn"/>
    <x v="5"/>
  </r>
  <r>
    <n v="67"/>
    <s v="Thurston County"/>
    <x v="1"/>
    <n v="15472"/>
    <n v="7908"/>
    <n v="7564"/>
    <n v="6209"/>
    <n v="5937"/>
    <n v="3326"/>
    <s v="PacMtn"/>
    <x v="5"/>
  </r>
  <r>
    <n v="67"/>
    <s v="Thurston County"/>
    <x v="2"/>
    <n v="15384"/>
    <n v="7914"/>
    <n v="7470"/>
    <n v="6328"/>
    <n v="5963"/>
    <n v="3093"/>
    <s v="PacMtn"/>
    <x v="5"/>
  </r>
  <r>
    <n v="67"/>
    <s v="Thurston County"/>
    <x v="3"/>
    <n v="15915"/>
    <n v="8147"/>
    <n v="7768"/>
    <n v="6716"/>
    <n v="6325"/>
    <n v="2874"/>
    <s v="PacMtn"/>
    <x v="5"/>
  </r>
  <r>
    <n v="67"/>
    <s v="Thurston County"/>
    <x v="4"/>
    <n v="16105"/>
    <n v="8396"/>
    <n v="7709"/>
    <n v="6887"/>
    <n v="6406"/>
    <n v="2812"/>
    <s v="PacMtn"/>
    <x v="5"/>
  </r>
  <r>
    <n v="67"/>
    <s v="Thurston County"/>
    <x v="5"/>
    <n v="16214"/>
    <n v="8322"/>
    <n v="7892"/>
    <n v="6879"/>
    <n v="6536"/>
    <n v="2799"/>
    <s v="PacMtn"/>
    <x v="5"/>
  </r>
  <r>
    <n v="67"/>
    <s v="Thurston County"/>
    <x v="6"/>
    <n v="19585"/>
    <n v="9988"/>
    <n v="9597"/>
    <n v="8380"/>
    <n v="8095"/>
    <n v="3110"/>
    <s v="PacMtn"/>
    <x v="5"/>
  </r>
  <r>
    <n v="67"/>
    <s v="Thurston County"/>
    <x v="7"/>
    <n v="17263"/>
    <n v="8735"/>
    <n v="8528"/>
    <n v="7415"/>
    <n v="7374"/>
    <n v="2474"/>
    <s v="PacMtn"/>
    <x v="5"/>
  </r>
  <r>
    <n v="67"/>
    <s v="Thurston County"/>
    <x v="8"/>
    <n v="16634"/>
    <n v="8331"/>
    <n v="8303"/>
    <n v="7102"/>
    <n v="7037"/>
    <n v="2495"/>
    <s v="PacMtn"/>
    <x v="5"/>
  </r>
  <r>
    <n v="67"/>
    <s v="Thurston County"/>
    <x v="9"/>
    <n v="16649"/>
    <n v="8253"/>
    <n v="8396"/>
    <n v="7119"/>
    <n v="7238"/>
    <n v="2292"/>
    <s v="PacMtn"/>
    <x v="5"/>
  </r>
  <r>
    <n v="67"/>
    <s v="Thurston County"/>
    <x v="10"/>
    <n v="18211"/>
    <n v="8822"/>
    <n v="9389"/>
    <n v="7756"/>
    <n v="8204"/>
    <n v="2251"/>
    <s v="PacMtn"/>
    <x v="5"/>
  </r>
  <r>
    <n v="67"/>
    <s v="Thurston County"/>
    <x v="11"/>
    <n v="18613"/>
    <n v="8891"/>
    <n v="9722"/>
    <n v="7816"/>
    <n v="8516"/>
    <n v="2281"/>
    <s v="PacMtn"/>
    <x v="5"/>
  </r>
  <r>
    <n v="67"/>
    <s v="Thurston County"/>
    <x v="12"/>
    <n v="18220"/>
    <n v="8600"/>
    <n v="9620"/>
    <n v="7728"/>
    <n v="8606"/>
    <n v="1886"/>
    <s v="PacMtn"/>
    <x v="5"/>
  </r>
  <r>
    <n v="67"/>
    <s v="Thurston County"/>
    <x v="13"/>
    <n v="14995"/>
    <n v="7293"/>
    <n v="7702"/>
    <n v="6650"/>
    <n v="6959"/>
    <n v="1386"/>
    <s v="PacMtn"/>
    <x v="5"/>
  </r>
  <r>
    <n v="67"/>
    <s v="Thurston County"/>
    <x v="14"/>
    <n v="10364"/>
    <n v="5021"/>
    <n v="5343"/>
    <n v="4576"/>
    <n v="4859"/>
    <n v="929"/>
    <s v="PacMtn"/>
    <x v="5"/>
  </r>
  <r>
    <n v="67"/>
    <s v="Thurston County"/>
    <x v="15"/>
    <n v="7097"/>
    <n v="3348"/>
    <n v="3749"/>
    <n v="3065"/>
    <n v="3399"/>
    <n v="633"/>
    <s v="PacMtn"/>
    <x v="5"/>
  </r>
  <r>
    <n v="67"/>
    <s v="Thurston County"/>
    <x v="16"/>
    <n v="5589"/>
    <n v="2508"/>
    <n v="3081"/>
    <n v="2328"/>
    <n v="2827"/>
    <n v="434"/>
    <s v="PacMtn"/>
    <x v="5"/>
  </r>
  <r>
    <n v="67"/>
    <s v="Thurston County"/>
    <x v="17"/>
    <n v="4469"/>
    <n v="1783"/>
    <n v="2686"/>
    <n v="1696"/>
    <n v="2547"/>
    <n v="226"/>
    <s v="PacMtn"/>
    <x v="5"/>
  </r>
  <r>
    <n v="67"/>
    <s v="Thurston County"/>
    <x v="18"/>
    <n v="4200"/>
    <n v="1374"/>
    <n v="2826"/>
    <n v="1323"/>
    <n v="2718"/>
    <n v="159"/>
    <s v="PacMtn"/>
    <x v="5"/>
  </r>
  <r>
    <n v="69"/>
    <s v="Wahkiakum County"/>
    <x v="0"/>
    <n v="4062"/>
    <n v="2003"/>
    <n v="2059"/>
    <n v="1905"/>
    <n v="1939"/>
    <n v="218"/>
    <s v="Southwest"/>
    <x v="4"/>
  </r>
  <r>
    <n v="69"/>
    <s v="Wahkiakum County"/>
    <x v="1"/>
    <n v="180"/>
    <n v="86"/>
    <n v="94"/>
    <n v="75"/>
    <n v="82"/>
    <n v="23"/>
    <s v="Southwest"/>
    <x v="4"/>
  </r>
  <r>
    <n v="69"/>
    <s v="Wahkiakum County"/>
    <x v="2"/>
    <n v="191"/>
    <n v="96"/>
    <n v="95"/>
    <n v="92"/>
    <n v="90"/>
    <n v="9"/>
    <s v="Southwest"/>
    <x v="4"/>
  </r>
  <r>
    <n v="69"/>
    <s v="Wahkiakum County"/>
    <x v="3"/>
    <n v="238"/>
    <n v="124"/>
    <n v="114"/>
    <n v="118"/>
    <n v="106"/>
    <n v="14"/>
    <s v="Southwest"/>
    <x v="4"/>
  </r>
  <r>
    <n v="69"/>
    <s v="Wahkiakum County"/>
    <x v="4"/>
    <n v="241"/>
    <n v="130"/>
    <n v="111"/>
    <n v="121"/>
    <n v="100"/>
    <n v="20"/>
    <s v="Southwest"/>
    <x v="4"/>
  </r>
  <r>
    <n v="69"/>
    <s v="Wahkiakum County"/>
    <x v="5"/>
    <n v="165"/>
    <n v="85"/>
    <n v="80"/>
    <n v="78"/>
    <n v="66"/>
    <n v="21"/>
    <s v="Southwest"/>
    <x v="4"/>
  </r>
  <r>
    <n v="69"/>
    <s v="Wahkiakum County"/>
    <x v="6"/>
    <n v="161"/>
    <n v="89"/>
    <n v="72"/>
    <n v="79"/>
    <n v="62"/>
    <n v="20"/>
    <s v="Southwest"/>
    <x v="4"/>
  </r>
  <r>
    <n v="69"/>
    <s v="Wahkiakum County"/>
    <x v="7"/>
    <n v="124"/>
    <n v="75"/>
    <n v="49"/>
    <n v="68"/>
    <n v="48"/>
    <n v="8"/>
    <s v="Southwest"/>
    <x v="4"/>
  </r>
  <r>
    <n v="69"/>
    <s v="Wahkiakum County"/>
    <x v="8"/>
    <n v="190"/>
    <n v="87"/>
    <n v="103"/>
    <n v="85"/>
    <n v="101"/>
    <n v="4"/>
    <s v="Southwest"/>
    <x v="4"/>
  </r>
  <r>
    <n v="69"/>
    <s v="Wahkiakum County"/>
    <x v="9"/>
    <n v="214"/>
    <n v="103"/>
    <n v="111"/>
    <n v="99"/>
    <n v="101"/>
    <n v="14"/>
    <s v="Southwest"/>
    <x v="4"/>
  </r>
  <r>
    <n v="69"/>
    <s v="Wahkiakum County"/>
    <x v="10"/>
    <n v="272"/>
    <n v="133"/>
    <n v="139"/>
    <n v="131"/>
    <n v="134"/>
    <n v="7"/>
    <s v="Southwest"/>
    <x v="4"/>
  </r>
  <r>
    <n v="69"/>
    <s v="Wahkiakum County"/>
    <x v="11"/>
    <n v="309"/>
    <n v="147"/>
    <n v="162"/>
    <n v="142"/>
    <n v="152"/>
    <n v="15"/>
    <s v="Southwest"/>
    <x v="4"/>
  </r>
  <r>
    <n v="69"/>
    <s v="Wahkiakum County"/>
    <x v="12"/>
    <n v="384"/>
    <n v="194"/>
    <n v="190"/>
    <n v="186"/>
    <n v="181"/>
    <n v="17"/>
    <s v="Southwest"/>
    <x v="4"/>
  </r>
  <r>
    <n v="69"/>
    <s v="Wahkiakum County"/>
    <x v="13"/>
    <n v="429"/>
    <n v="205"/>
    <n v="224"/>
    <n v="197"/>
    <n v="216"/>
    <n v="16"/>
    <s v="Southwest"/>
    <x v="4"/>
  </r>
  <r>
    <n v="69"/>
    <s v="Wahkiakum County"/>
    <x v="14"/>
    <n v="361"/>
    <n v="174"/>
    <n v="187"/>
    <n v="169"/>
    <n v="181"/>
    <n v="11"/>
    <s v="Southwest"/>
    <x v="4"/>
  </r>
  <r>
    <n v="69"/>
    <s v="Wahkiakum County"/>
    <x v="15"/>
    <n v="223"/>
    <n v="110"/>
    <n v="113"/>
    <n v="108"/>
    <n v="110"/>
    <n v="5"/>
    <s v="Southwest"/>
    <x v="4"/>
  </r>
  <r>
    <n v="69"/>
    <s v="Wahkiakum County"/>
    <x v="16"/>
    <n v="161"/>
    <n v="81"/>
    <n v="80"/>
    <n v="79"/>
    <n v="78"/>
    <n v="4"/>
    <s v="Southwest"/>
    <x v="4"/>
  </r>
  <r>
    <n v="69"/>
    <s v="Wahkiakum County"/>
    <x v="17"/>
    <n v="101"/>
    <n v="48"/>
    <n v="53"/>
    <n v="45"/>
    <n v="52"/>
    <n v="4"/>
    <s v="Southwest"/>
    <x v="4"/>
  </r>
  <r>
    <n v="69"/>
    <s v="Wahkiakum County"/>
    <x v="18"/>
    <n v="118"/>
    <n v="36"/>
    <n v="82"/>
    <n v="33"/>
    <n v="79"/>
    <n v="6"/>
    <s v="Southwest"/>
    <x v="4"/>
  </r>
  <r>
    <n v="71"/>
    <s v="Walla Walla County"/>
    <x v="0"/>
    <n v="59059"/>
    <n v="29933"/>
    <n v="29126"/>
    <n v="27729"/>
    <n v="27496"/>
    <n v="3834"/>
    <s v="Eastern"/>
    <x v="1"/>
  </r>
  <r>
    <n v="71"/>
    <s v="Walla Walla County"/>
    <x v="1"/>
    <n v="3820"/>
    <n v="1974"/>
    <n v="1846"/>
    <n v="1803"/>
    <n v="1663"/>
    <n v="354"/>
    <s v="Eastern"/>
    <x v="1"/>
  </r>
  <r>
    <n v="71"/>
    <s v="Walla Walla County"/>
    <x v="2"/>
    <n v="3687"/>
    <n v="1847"/>
    <n v="1840"/>
    <n v="1673"/>
    <n v="1674"/>
    <n v="340"/>
    <s v="Eastern"/>
    <x v="1"/>
  </r>
  <r>
    <n v="71"/>
    <s v="Walla Walla County"/>
    <x v="3"/>
    <n v="3684"/>
    <n v="1919"/>
    <n v="1765"/>
    <n v="1759"/>
    <n v="1639"/>
    <n v="286"/>
    <s v="Eastern"/>
    <x v="1"/>
  </r>
  <r>
    <n v="71"/>
    <s v="Walla Walla County"/>
    <x v="4"/>
    <n v="4613"/>
    <n v="2403"/>
    <n v="2210"/>
    <n v="2200"/>
    <n v="2068"/>
    <n v="345"/>
    <s v="Eastern"/>
    <x v="1"/>
  </r>
  <r>
    <n v="71"/>
    <s v="Walla Walla County"/>
    <x v="5"/>
    <n v="4940"/>
    <n v="2835"/>
    <n v="2105"/>
    <n v="2513"/>
    <n v="1959"/>
    <n v="468"/>
    <s v="Eastern"/>
    <x v="1"/>
  </r>
  <r>
    <n v="71"/>
    <s v="Walla Walla County"/>
    <x v="6"/>
    <n v="4304"/>
    <n v="2371"/>
    <n v="1933"/>
    <n v="2121"/>
    <n v="1817"/>
    <n v="366"/>
    <s v="Eastern"/>
    <x v="1"/>
  </r>
  <r>
    <n v="71"/>
    <s v="Walla Walla County"/>
    <x v="7"/>
    <n v="3903"/>
    <n v="2129"/>
    <n v="1774"/>
    <n v="1920"/>
    <n v="1657"/>
    <n v="326"/>
    <s v="Eastern"/>
    <x v="1"/>
  </r>
  <r>
    <n v="71"/>
    <s v="Walla Walla County"/>
    <x v="8"/>
    <n v="3164"/>
    <n v="1689"/>
    <n v="1475"/>
    <n v="1543"/>
    <n v="1401"/>
    <n v="220"/>
    <s v="Eastern"/>
    <x v="1"/>
  </r>
  <r>
    <n v="71"/>
    <s v="Walla Walla County"/>
    <x v="9"/>
    <n v="3467"/>
    <n v="1782"/>
    <n v="1685"/>
    <n v="1656"/>
    <n v="1596"/>
    <n v="215"/>
    <s v="Eastern"/>
    <x v="1"/>
  </r>
  <r>
    <n v="71"/>
    <s v="Walla Walla County"/>
    <x v="10"/>
    <n v="3868"/>
    <n v="1946"/>
    <n v="1922"/>
    <n v="1848"/>
    <n v="1826"/>
    <n v="194"/>
    <s v="Eastern"/>
    <x v="1"/>
  </r>
  <r>
    <n v="71"/>
    <s v="Walla Walla County"/>
    <x v="11"/>
    <n v="3986"/>
    <n v="1978"/>
    <n v="2008"/>
    <n v="1895"/>
    <n v="1919"/>
    <n v="172"/>
    <s v="Eastern"/>
    <x v="1"/>
  </r>
  <r>
    <n v="71"/>
    <s v="Walla Walla County"/>
    <x v="12"/>
    <n v="3675"/>
    <n v="1840"/>
    <n v="1835"/>
    <n v="1775"/>
    <n v="1762"/>
    <n v="138"/>
    <s v="Eastern"/>
    <x v="1"/>
  </r>
  <r>
    <n v="71"/>
    <s v="Walla Walla County"/>
    <x v="13"/>
    <n v="3019"/>
    <n v="1457"/>
    <n v="1562"/>
    <n v="1410"/>
    <n v="1487"/>
    <n v="122"/>
    <s v="Eastern"/>
    <x v="1"/>
  </r>
  <r>
    <n v="71"/>
    <s v="Walla Walla County"/>
    <x v="14"/>
    <n v="2292"/>
    <n v="1098"/>
    <n v="1194"/>
    <n v="1064"/>
    <n v="1145"/>
    <n v="83"/>
    <s v="Eastern"/>
    <x v="1"/>
  </r>
  <r>
    <n v="71"/>
    <s v="Walla Walla County"/>
    <x v="15"/>
    <n v="1816"/>
    <n v="816"/>
    <n v="1000"/>
    <n v="786"/>
    <n v="967"/>
    <n v="63"/>
    <s v="Eastern"/>
    <x v="1"/>
  </r>
  <r>
    <n v="71"/>
    <s v="Walla Walla County"/>
    <x v="16"/>
    <n v="1665"/>
    <n v="697"/>
    <n v="968"/>
    <n v="660"/>
    <n v="946"/>
    <n v="59"/>
    <s v="Eastern"/>
    <x v="1"/>
  </r>
  <r>
    <n v="71"/>
    <s v="Walla Walla County"/>
    <x v="17"/>
    <n v="1466"/>
    <n v="586"/>
    <n v="880"/>
    <n v="551"/>
    <n v="865"/>
    <n v="50"/>
    <s v="Eastern"/>
    <x v="1"/>
  </r>
  <r>
    <n v="71"/>
    <s v="Walla Walla County"/>
    <x v="18"/>
    <n v="1690"/>
    <n v="566"/>
    <n v="1124"/>
    <n v="552"/>
    <n v="1105"/>
    <n v="33"/>
    <s v="Eastern"/>
    <x v="1"/>
  </r>
  <r>
    <n v="73"/>
    <s v="Whatcom County"/>
    <x v="0"/>
    <n v="200434"/>
    <n v="99041"/>
    <n v="101393"/>
    <n v="88734"/>
    <n v="90867"/>
    <n v="20833"/>
    <s v="Northwest"/>
    <x v="6"/>
  </r>
  <r>
    <n v="73"/>
    <s v="Whatcom County"/>
    <x v="1"/>
    <n v="11914"/>
    <n v="6101"/>
    <n v="5813"/>
    <n v="5033"/>
    <n v="4815"/>
    <n v="2066"/>
    <s v="Northwest"/>
    <x v="6"/>
  </r>
  <r>
    <n v="73"/>
    <s v="Whatcom County"/>
    <x v="2"/>
    <n v="11254"/>
    <n v="5627"/>
    <n v="5627"/>
    <n v="4828"/>
    <n v="4748"/>
    <n v="1678"/>
    <s v="Northwest"/>
    <x v="6"/>
  </r>
  <r>
    <n v="73"/>
    <s v="Whatcom County"/>
    <x v="3"/>
    <n v="11485"/>
    <n v="5863"/>
    <n v="5622"/>
    <n v="5087"/>
    <n v="4837"/>
    <n v="1561"/>
    <s v="Northwest"/>
    <x v="6"/>
  </r>
  <r>
    <n v="73"/>
    <s v="Whatcom County"/>
    <x v="4"/>
    <n v="15845"/>
    <n v="7568"/>
    <n v="8277"/>
    <n v="6603"/>
    <n v="7205"/>
    <n v="2037"/>
    <s v="Northwest"/>
    <x v="6"/>
  </r>
  <r>
    <n v="73"/>
    <s v="Whatcom County"/>
    <x v="5"/>
    <n v="25640"/>
    <n v="12700"/>
    <n v="12940"/>
    <n v="11086"/>
    <n v="11346"/>
    <n v="3208"/>
    <s v="Northwest"/>
    <x v="6"/>
  </r>
  <r>
    <n v="73"/>
    <s v="Whatcom County"/>
    <x v="6"/>
    <n v="13615"/>
    <n v="7066"/>
    <n v="6549"/>
    <n v="6204"/>
    <n v="5771"/>
    <n v="1640"/>
    <s v="Northwest"/>
    <x v="6"/>
  </r>
  <r>
    <n v="73"/>
    <s v="Whatcom County"/>
    <x v="7"/>
    <n v="8723"/>
    <n v="4722"/>
    <n v="4001"/>
    <n v="4094"/>
    <n v="3517"/>
    <n v="1112"/>
    <s v="Northwest"/>
    <x v="6"/>
  </r>
  <r>
    <n v="73"/>
    <s v="Whatcom County"/>
    <x v="8"/>
    <n v="11915"/>
    <n v="6128"/>
    <n v="5787"/>
    <n v="5451"/>
    <n v="5113"/>
    <n v="1351"/>
    <s v="Northwest"/>
    <x v="6"/>
  </r>
  <r>
    <n v="73"/>
    <s v="Whatcom County"/>
    <x v="9"/>
    <n v="12063"/>
    <n v="6055"/>
    <n v="6008"/>
    <n v="5459"/>
    <n v="5393"/>
    <n v="1211"/>
    <s v="Northwest"/>
    <x v="6"/>
  </r>
  <r>
    <n v="73"/>
    <s v="Whatcom County"/>
    <x v="10"/>
    <n v="13280"/>
    <n v="6474"/>
    <n v="6806"/>
    <n v="5940"/>
    <n v="6252"/>
    <n v="1088"/>
    <s v="Northwest"/>
    <x v="6"/>
  </r>
  <r>
    <n v="73"/>
    <s v="Whatcom County"/>
    <x v="11"/>
    <n v="13521"/>
    <n v="6605"/>
    <n v="6916"/>
    <n v="6148"/>
    <n v="6374"/>
    <n v="999"/>
    <s v="Northwest"/>
    <x v="6"/>
  </r>
  <r>
    <n v="73"/>
    <s v="Whatcom County"/>
    <x v="12"/>
    <n v="13652"/>
    <n v="6622"/>
    <n v="7030"/>
    <n v="6184"/>
    <n v="6477"/>
    <n v="991"/>
    <s v="Northwest"/>
    <x v="6"/>
  </r>
  <r>
    <n v="73"/>
    <s v="Whatcom County"/>
    <x v="13"/>
    <n v="11545"/>
    <n v="5678"/>
    <n v="5867"/>
    <n v="5323"/>
    <n v="5505"/>
    <n v="717"/>
    <s v="Northwest"/>
    <x v="6"/>
  </r>
  <r>
    <n v="73"/>
    <s v="Whatcom County"/>
    <x v="14"/>
    <n v="8128"/>
    <n v="4019"/>
    <n v="4109"/>
    <n v="3807"/>
    <n v="3887"/>
    <n v="434"/>
    <s v="Northwest"/>
    <x v="6"/>
  </r>
  <r>
    <n v="73"/>
    <s v="Whatcom County"/>
    <x v="15"/>
    <n v="6022"/>
    <n v="2875"/>
    <n v="3147"/>
    <n v="2712"/>
    <n v="2966"/>
    <n v="344"/>
    <s v="Northwest"/>
    <x v="6"/>
  </r>
  <r>
    <n v="73"/>
    <s v="Whatcom County"/>
    <x v="16"/>
    <n v="4712"/>
    <n v="2170"/>
    <n v="2542"/>
    <n v="2089"/>
    <n v="2435"/>
    <n v="188"/>
    <s v="Northwest"/>
    <x v="6"/>
  </r>
  <r>
    <n v="73"/>
    <s v="Whatcom County"/>
    <x v="17"/>
    <n v="3604"/>
    <n v="1548"/>
    <n v="2056"/>
    <n v="1511"/>
    <n v="1988"/>
    <n v="105"/>
    <s v="Northwest"/>
    <x v="6"/>
  </r>
  <r>
    <n v="73"/>
    <s v="Whatcom County"/>
    <x v="18"/>
    <n v="3516"/>
    <n v="1220"/>
    <n v="2296"/>
    <n v="1175"/>
    <n v="2238"/>
    <n v="103"/>
    <s v="Northwest"/>
    <x v="6"/>
  </r>
  <r>
    <n v="75"/>
    <s v="Whitman County"/>
    <x v="0"/>
    <n v="42689"/>
    <n v="21621"/>
    <n v="21068"/>
    <n v="18636"/>
    <n v="18303"/>
    <n v="5750"/>
    <s v="Eastern"/>
    <x v="1"/>
  </r>
  <r>
    <n v="75"/>
    <s v="Whitman County"/>
    <x v="1"/>
    <n v="2031"/>
    <n v="1060"/>
    <n v="971"/>
    <n v="856"/>
    <n v="774"/>
    <n v="401"/>
    <s v="Eastern"/>
    <x v="1"/>
  </r>
  <r>
    <n v="75"/>
    <s v="Whitman County"/>
    <x v="2"/>
    <n v="1809"/>
    <n v="872"/>
    <n v="937"/>
    <n v="732"/>
    <n v="756"/>
    <n v="321"/>
    <s v="Eastern"/>
    <x v="1"/>
  </r>
  <r>
    <n v="75"/>
    <s v="Whitman County"/>
    <x v="3"/>
    <n v="1613"/>
    <n v="833"/>
    <n v="780"/>
    <n v="711"/>
    <n v="648"/>
    <n v="254"/>
    <s v="Eastern"/>
    <x v="1"/>
  </r>
  <r>
    <n v="75"/>
    <s v="Whitman County"/>
    <x v="4"/>
    <n v="4972"/>
    <n v="2345"/>
    <n v="2627"/>
    <n v="2057"/>
    <n v="2326"/>
    <n v="589"/>
    <s v="Eastern"/>
    <x v="1"/>
  </r>
  <r>
    <n v="75"/>
    <s v="Whitman County"/>
    <x v="5"/>
    <n v="13221"/>
    <n v="7021"/>
    <n v="6200"/>
    <n v="6124"/>
    <n v="5309"/>
    <n v="1788"/>
    <s v="Eastern"/>
    <x v="1"/>
  </r>
  <r>
    <n v="75"/>
    <s v="Whitman County"/>
    <x v="6"/>
    <n v="3242"/>
    <n v="1684"/>
    <n v="1558"/>
    <n v="1368"/>
    <n v="1322"/>
    <n v="552"/>
    <s v="Eastern"/>
    <x v="1"/>
  </r>
  <r>
    <n v="75"/>
    <s v="Whitman County"/>
    <x v="7"/>
    <n v="1131"/>
    <n v="626"/>
    <n v="505"/>
    <n v="390"/>
    <n v="379"/>
    <n v="362"/>
    <s v="Eastern"/>
    <x v="1"/>
  </r>
  <r>
    <n v="75"/>
    <s v="Whitman County"/>
    <x v="8"/>
    <n v="1826"/>
    <n v="1010"/>
    <n v="816"/>
    <n v="765"/>
    <n v="642"/>
    <n v="419"/>
    <s v="Eastern"/>
    <x v="1"/>
  </r>
  <r>
    <n v="75"/>
    <s v="Whitman County"/>
    <x v="9"/>
    <n v="1802"/>
    <n v="863"/>
    <n v="939"/>
    <n v="687"/>
    <n v="797"/>
    <n v="318"/>
    <s v="Eastern"/>
    <x v="1"/>
  </r>
  <r>
    <n v="75"/>
    <s v="Whitman County"/>
    <x v="10"/>
    <n v="1908"/>
    <n v="924"/>
    <n v="984"/>
    <n v="808"/>
    <n v="874"/>
    <n v="226"/>
    <s v="Eastern"/>
    <x v="1"/>
  </r>
  <r>
    <n v="75"/>
    <s v="Whitman County"/>
    <x v="11"/>
    <n v="1926"/>
    <n v="940"/>
    <n v="986"/>
    <n v="856"/>
    <n v="912"/>
    <n v="158"/>
    <s v="Eastern"/>
    <x v="1"/>
  </r>
  <r>
    <n v="75"/>
    <s v="Whitman County"/>
    <x v="12"/>
    <n v="1780"/>
    <n v="934"/>
    <n v="846"/>
    <n v="880"/>
    <n v="777"/>
    <n v="123"/>
    <s v="Eastern"/>
    <x v="1"/>
  </r>
  <r>
    <n v="75"/>
    <s v="Whitman County"/>
    <x v="13"/>
    <n v="1408"/>
    <n v="686"/>
    <n v="722"/>
    <n v="651"/>
    <n v="684"/>
    <n v="73"/>
    <s v="Eastern"/>
    <x v="1"/>
  </r>
  <r>
    <n v="75"/>
    <s v="Whitman County"/>
    <x v="14"/>
    <n v="1086"/>
    <n v="518"/>
    <n v="568"/>
    <n v="491"/>
    <n v="541"/>
    <n v="54"/>
    <s v="Eastern"/>
    <x v="1"/>
  </r>
  <r>
    <n v="75"/>
    <s v="Whitman County"/>
    <x v="15"/>
    <n v="866"/>
    <n v="423"/>
    <n v="443"/>
    <n v="396"/>
    <n v="424"/>
    <n v="46"/>
    <s v="Eastern"/>
    <x v="1"/>
  </r>
  <r>
    <n v="75"/>
    <s v="Whitman County"/>
    <x v="16"/>
    <n v="748"/>
    <n v="342"/>
    <n v="406"/>
    <n v="332"/>
    <n v="377"/>
    <n v="39"/>
    <s v="Eastern"/>
    <x v="1"/>
  </r>
  <r>
    <n v="75"/>
    <s v="Whitman County"/>
    <x v="17"/>
    <n v="622"/>
    <n v="291"/>
    <n v="331"/>
    <n v="285"/>
    <n v="323"/>
    <n v="14"/>
    <s v="Eastern"/>
    <x v="1"/>
  </r>
  <r>
    <n v="75"/>
    <s v="Whitman County"/>
    <x v="18"/>
    <n v="698"/>
    <n v="249"/>
    <n v="449"/>
    <n v="247"/>
    <n v="438"/>
    <n v="13"/>
    <s v="Eastern"/>
    <x v="1"/>
  </r>
  <r>
    <n v="77"/>
    <s v="Yakima County"/>
    <x v="0"/>
    <n v="239054"/>
    <n v="119737"/>
    <n v="119317"/>
    <n v="107229"/>
    <n v="106499"/>
    <n v="25326"/>
    <s v="South Central"/>
    <x v="8"/>
  </r>
  <r>
    <n v="77"/>
    <s v="Yakima County"/>
    <x v="1"/>
    <n v="22532"/>
    <n v="11530"/>
    <n v="11002"/>
    <n v="9414"/>
    <n v="9009"/>
    <n v="4109"/>
    <s v="South Central"/>
    <x v="8"/>
  </r>
  <r>
    <n v="77"/>
    <s v="Yakima County"/>
    <x v="2"/>
    <n v="21073"/>
    <n v="10785"/>
    <n v="10288"/>
    <n v="9144"/>
    <n v="8645"/>
    <n v="3284"/>
    <s v="South Central"/>
    <x v="8"/>
  </r>
  <r>
    <n v="77"/>
    <s v="Yakima County"/>
    <x v="3"/>
    <n v="18795"/>
    <n v="9570"/>
    <n v="9225"/>
    <n v="8546"/>
    <n v="8258"/>
    <n v="1991"/>
    <s v="South Central"/>
    <x v="8"/>
  </r>
  <r>
    <n v="77"/>
    <s v="Yakima County"/>
    <x v="4"/>
    <n v="19306"/>
    <n v="10111"/>
    <n v="9195"/>
    <n v="9052"/>
    <n v="8160"/>
    <n v="2094"/>
    <s v="South Central"/>
    <x v="8"/>
  </r>
  <r>
    <n v="77"/>
    <s v="Yakima County"/>
    <x v="5"/>
    <n v="16001"/>
    <n v="8375"/>
    <n v="7626"/>
    <n v="7435"/>
    <n v="6775"/>
    <n v="1791"/>
    <s v="South Central"/>
    <x v="8"/>
  </r>
  <r>
    <n v="77"/>
    <s v="Yakima County"/>
    <x v="6"/>
    <n v="16238"/>
    <n v="8508"/>
    <n v="7730"/>
    <n v="7636"/>
    <n v="6886"/>
    <n v="1716"/>
    <s v="South Central"/>
    <x v="8"/>
  </r>
  <r>
    <n v="77"/>
    <s v="Yakima County"/>
    <x v="7"/>
    <n v="14178"/>
    <n v="7254"/>
    <n v="6924"/>
    <n v="6579"/>
    <n v="6249"/>
    <n v="1350"/>
    <s v="South Central"/>
    <x v="8"/>
  </r>
  <r>
    <n v="77"/>
    <s v="Yakima County"/>
    <x v="8"/>
    <n v="14351"/>
    <n v="7277"/>
    <n v="7074"/>
    <n v="6663"/>
    <n v="6422"/>
    <n v="1266"/>
    <s v="South Central"/>
    <x v="8"/>
  </r>
  <r>
    <n v="77"/>
    <s v="Yakima County"/>
    <x v="9"/>
    <n v="13991"/>
    <n v="7065"/>
    <n v="6926"/>
    <n v="6424"/>
    <n v="6225"/>
    <n v="1342"/>
    <s v="South Central"/>
    <x v="8"/>
  </r>
  <r>
    <n v="77"/>
    <s v="Yakima County"/>
    <x v="10"/>
    <n v="15309"/>
    <n v="7731"/>
    <n v="7578"/>
    <n v="7014"/>
    <n v="6820"/>
    <n v="1475"/>
    <s v="South Central"/>
    <x v="8"/>
  </r>
  <r>
    <n v="77"/>
    <s v="Yakima County"/>
    <x v="11"/>
    <n v="14792"/>
    <n v="7301"/>
    <n v="7491"/>
    <n v="6683"/>
    <n v="6722"/>
    <n v="1387"/>
    <s v="South Central"/>
    <x v="8"/>
  </r>
  <r>
    <n v="77"/>
    <s v="Yakima County"/>
    <x v="12"/>
    <n v="13425"/>
    <n v="6568"/>
    <n v="6857"/>
    <n v="6066"/>
    <n v="6272"/>
    <n v="1087"/>
    <s v="South Central"/>
    <x v="8"/>
  </r>
  <r>
    <n v="77"/>
    <s v="Yakima County"/>
    <x v="13"/>
    <n v="11036"/>
    <n v="5446"/>
    <n v="5590"/>
    <n v="5064"/>
    <n v="5212"/>
    <n v="760"/>
    <s v="South Central"/>
    <x v="8"/>
  </r>
  <r>
    <n v="77"/>
    <s v="Yakima County"/>
    <x v="14"/>
    <n v="8393"/>
    <n v="4119"/>
    <n v="4274"/>
    <n v="3857"/>
    <n v="3978"/>
    <n v="558"/>
    <s v="South Central"/>
    <x v="8"/>
  </r>
  <r>
    <n v="77"/>
    <s v="Yakima County"/>
    <x v="15"/>
    <n v="6381"/>
    <n v="2945"/>
    <n v="3436"/>
    <n v="2750"/>
    <n v="3179"/>
    <n v="452"/>
    <s v="South Central"/>
    <x v="8"/>
  </r>
  <r>
    <n v="77"/>
    <s v="Yakima County"/>
    <x v="16"/>
    <n v="5069"/>
    <n v="2184"/>
    <n v="2885"/>
    <n v="2064"/>
    <n v="2697"/>
    <n v="308"/>
    <s v="South Central"/>
    <x v="8"/>
  </r>
  <r>
    <n v="77"/>
    <s v="Yakima County"/>
    <x v="17"/>
    <n v="4013"/>
    <n v="1632"/>
    <n v="2381"/>
    <n v="1557"/>
    <n v="2247"/>
    <n v="209"/>
    <s v="South Central"/>
    <x v="8"/>
  </r>
  <r>
    <n v="77"/>
    <s v="Yakima County"/>
    <x v="18"/>
    <n v="4171"/>
    <n v="1336"/>
    <n v="2835"/>
    <n v="1281"/>
    <n v="2743"/>
    <n v="147"/>
    <s v="South Central"/>
    <x v="8"/>
  </r>
</pivotCacheRecords>
</file>

<file path=xl/pivotCache/pivotCacheRecords10.xml><?xml version="1.0" encoding="utf-8"?>
<pivotCacheRecords xmlns="http://schemas.openxmlformats.org/spreadsheetml/2006/main" xmlns:r="http://schemas.openxmlformats.org/officeDocument/2006/relationships" count="1">
  <r>
    <x v="0"/>
    <x v="0"/>
    <x v="0"/>
    <x v="0"/>
    <x v="0"/>
    <x v="0"/>
    <x v="0"/>
    <x v="0"/>
    <x v="0"/>
    <x v="0"/>
    <x v="0"/>
    <x v="0"/>
  </r>
</pivotCacheRecords>
</file>

<file path=xl/pivotCache/pivotCacheRecords11.xml><?xml version="1.0" encoding="utf-8"?>
<pivotCacheRecords xmlns="http://schemas.openxmlformats.org/spreadsheetml/2006/main" xmlns:r="http://schemas.openxmlformats.org/officeDocument/2006/relationships" count="1">
  <r>
    <x v="0"/>
    <x v="0"/>
    <x v="0"/>
    <x v="0"/>
    <x v="0"/>
    <x v="0"/>
    <x v="0"/>
    <x v="0"/>
    <x v="0"/>
    <x v="0"/>
    <x v="0"/>
    <x v="0"/>
  </r>
</pivotCacheRecords>
</file>

<file path=xl/pivotCache/pivotCacheRecords12.xml><?xml version="1.0" encoding="utf-8"?>
<pivotCacheRecords xmlns="http://schemas.openxmlformats.org/spreadsheetml/2006/main" xmlns:r="http://schemas.openxmlformats.org/officeDocument/2006/relationships" count="12">
  <r>
    <x v="0"/>
    <x v="0"/>
    <x v="0"/>
    <x v="0"/>
    <x v="0"/>
    <x v="0"/>
  </r>
  <r>
    <x v="1"/>
    <x v="1"/>
    <x v="1"/>
    <x v="1"/>
    <x v="1"/>
    <x v="1"/>
  </r>
  <r>
    <x v="2"/>
    <x v="2"/>
    <x v="2"/>
    <x v="2"/>
    <x v="2"/>
    <x v="2"/>
  </r>
  <r>
    <x v="3"/>
    <x v="3"/>
    <x v="3"/>
    <x v="3"/>
    <x v="3"/>
    <x v="3"/>
  </r>
  <r>
    <x v="4"/>
    <x v="4"/>
    <x v="4"/>
    <x v="4"/>
    <x v="4"/>
    <x v="4"/>
  </r>
  <r>
    <x v="5"/>
    <x v="5"/>
    <x v="5"/>
    <x v="5"/>
    <x v="5"/>
    <x v="5"/>
  </r>
  <r>
    <x v="6"/>
    <x v="6"/>
    <x v="6"/>
    <x v="6"/>
    <x v="6"/>
    <x v="6"/>
  </r>
  <r>
    <x v="7"/>
    <x v="7"/>
    <x v="7"/>
    <x v="7"/>
    <x v="7"/>
    <x v="7"/>
  </r>
  <r>
    <x v="8"/>
    <x v="8"/>
    <x v="8"/>
    <x v="8"/>
    <x v="8"/>
    <x v="8"/>
  </r>
  <r>
    <x v="9"/>
    <x v="9"/>
    <x v="9"/>
    <x v="9"/>
    <x v="9"/>
    <x v="9"/>
  </r>
  <r>
    <x v="10"/>
    <x v="10"/>
    <x v="10"/>
    <x v="10"/>
    <x v="10"/>
    <x v="10"/>
  </r>
  <r>
    <x v="11"/>
    <x v="11"/>
    <x v="11"/>
    <x v="11"/>
    <x v="11"/>
    <x v="11"/>
  </r>
</pivotCacheRecords>
</file>

<file path=xl/pivotCache/pivotCacheRecords13.xml><?xml version="1.0" encoding="utf-8"?>
<pivotCacheRecords xmlns="http://schemas.openxmlformats.org/spreadsheetml/2006/main" xmlns:r="http://schemas.openxmlformats.org/officeDocument/2006/relationships" count="13">
  <r>
    <x v="0"/>
    <x v="0"/>
    <x v="0"/>
    <x v="0"/>
    <x v="0"/>
    <x v="0"/>
  </r>
  <r>
    <x v="1"/>
    <x v="1"/>
    <x v="1"/>
    <x v="1"/>
    <x v="1"/>
    <x v="1"/>
  </r>
  <r>
    <x v="2"/>
    <x v="2"/>
    <x v="2"/>
    <x v="2"/>
    <x v="2"/>
    <x v="2"/>
  </r>
  <r>
    <x v="3"/>
    <x v="3"/>
    <x v="3"/>
    <x v="3"/>
    <x v="3"/>
    <x v="3"/>
  </r>
  <r>
    <x v="4"/>
    <x v="4"/>
    <x v="4"/>
    <x v="4"/>
    <x v="4"/>
    <x v="4"/>
  </r>
  <r>
    <x v="5"/>
    <x v="5"/>
    <x v="5"/>
    <x v="5"/>
    <x v="5"/>
    <x v="5"/>
  </r>
  <r>
    <x v="6"/>
    <x v="6"/>
    <x v="6"/>
    <x v="6"/>
    <x v="6"/>
    <x v="6"/>
  </r>
  <r>
    <x v="7"/>
    <x v="7"/>
    <x v="7"/>
    <x v="7"/>
    <x v="7"/>
    <x v="7"/>
  </r>
  <r>
    <x v="8"/>
    <x v="8"/>
    <x v="8"/>
    <x v="8"/>
    <x v="8"/>
    <x v="8"/>
  </r>
  <r>
    <x v="9"/>
    <x v="9"/>
    <x v="9"/>
    <x v="9"/>
    <x v="9"/>
    <x v="9"/>
  </r>
  <r>
    <x v="10"/>
    <x v="10"/>
    <x v="10"/>
    <x v="10"/>
    <x v="10"/>
    <x v="10"/>
  </r>
  <r>
    <x v="11"/>
    <x v="11"/>
    <x v="11"/>
    <x v="11"/>
    <x v="11"/>
    <x v="11"/>
  </r>
  <r>
    <x v="12"/>
    <x v="12"/>
    <x v="12"/>
    <x v="12"/>
    <x v="12"/>
    <x v="12"/>
  </r>
</pivotCacheRecords>
</file>

<file path=xl/pivotCache/pivotCacheRecords14.xml><?xml version="1.0" encoding="utf-8"?>
<pivotCacheRecords xmlns="http://schemas.openxmlformats.org/spreadsheetml/2006/main" xmlns:r="http://schemas.openxmlformats.org/officeDocument/2006/relationships" count="12">
  <r>
    <x v="0"/>
    <x v="0"/>
    <x v="0"/>
    <x v="0"/>
    <x v="0"/>
    <x v="0"/>
    <x v="0"/>
    <x v="0"/>
    <x v="0"/>
  </r>
  <r>
    <x v="1"/>
    <x v="1"/>
    <x v="1"/>
    <x v="1"/>
    <x v="1"/>
    <x v="1"/>
    <x v="1"/>
    <x v="1"/>
    <x v="1"/>
  </r>
  <r>
    <x v="2"/>
    <x v="2"/>
    <x v="2"/>
    <x v="2"/>
    <x v="2"/>
    <x v="2"/>
    <x v="2"/>
    <x v="2"/>
    <x v="2"/>
  </r>
  <r>
    <x v="3"/>
    <x v="3"/>
    <x v="3"/>
    <x v="3"/>
    <x v="3"/>
    <x v="3"/>
    <x v="3"/>
    <x v="3"/>
    <x v="3"/>
  </r>
  <r>
    <x v="4"/>
    <x v="4"/>
    <x v="4"/>
    <x v="4"/>
    <x v="4"/>
    <x v="4"/>
    <x v="4"/>
    <x v="4"/>
    <x v="4"/>
  </r>
  <r>
    <x v="5"/>
    <x v="5"/>
    <x v="5"/>
    <x v="5"/>
    <x v="5"/>
    <x v="5"/>
    <x v="5"/>
    <x v="5"/>
    <x v="5"/>
  </r>
  <r>
    <x v="6"/>
    <x v="6"/>
    <x v="6"/>
    <x v="6"/>
    <x v="6"/>
    <x v="6"/>
    <x v="6"/>
    <x v="6"/>
    <x v="6"/>
  </r>
  <r>
    <x v="7"/>
    <x v="7"/>
    <x v="7"/>
    <x v="7"/>
    <x v="7"/>
    <x v="7"/>
    <x v="7"/>
    <x v="7"/>
    <x v="7"/>
  </r>
  <r>
    <x v="8"/>
    <x v="8"/>
    <x v="8"/>
    <x v="8"/>
    <x v="8"/>
    <x v="8"/>
    <x v="8"/>
    <x v="8"/>
    <x v="8"/>
  </r>
  <r>
    <x v="9"/>
    <x v="9"/>
    <x v="9"/>
    <x v="9"/>
    <x v="9"/>
    <x v="9"/>
    <x v="9"/>
    <x v="9"/>
    <x v="9"/>
  </r>
  <r>
    <x v="10"/>
    <x v="10"/>
    <x v="10"/>
    <x v="10"/>
    <x v="10"/>
    <x v="10"/>
    <x v="10"/>
    <x v="10"/>
    <x v="10"/>
  </r>
  <r>
    <x v="11"/>
    <x v="11"/>
    <x v="11"/>
    <x v="11"/>
    <x v="11"/>
    <x v="9"/>
    <x v="11"/>
    <x v="11"/>
    <x v="11"/>
  </r>
</pivotCacheRecords>
</file>

<file path=xl/pivotCache/pivotCacheRecords15.xml><?xml version="1.0" encoding="utf-8"?>
<pivotCacheRecords xmlns="http://schemas.openxmlformats.org/spreadsheetml/2006/main" xmlns:r="http://schemas.openxmlformats.org/officeDocument/2006/relationships" count="13">
  <r>
    <x v="0"/>
    <x v="0"/>
    <x v="0"/>
    <x v="0"/>
  </r>
  <r>
    <x v="1"/>
    <x v="1"/>
    <x v="1"/>
    <x v="1"/>
  </r>
  <r>
    <x v="2"/>
    <x v="2"/>
    <x v="2"/>
    <x v="2"/>
  </r>
  <r>
    <x v="3"/>
    <x v="3"/>
    <x v="3"/>
    <x v="3"/>
  </r>
  <r>
    <x v="4"/>
    <x v="4"/>
    <x v="4"/>
    <x v="4"/>
  </r>
  <r>
    <x v="5"/>
    <x v="5"/>
    <x v="5"/>
    <x v="5"/>
  </r>
  <r>
    <x v="6"/>
    <x v="6"/>
    <x v="6"/>
    <x v="6"/>
  </r>
  <r>
    <x v="7"/>
    <x v="7"/>
    <x v="7"/>
    <x v="7"/>
  </r>
  <r>
    <x v="8"/>
    <x v="8"/>
    <x v="8"/>
    <x v="8"/>
  </r>
  <r>
    <x v="9"/>
    <x v="9"/>
    <x v="9"/>
    <x v="9"/>
  </r>
  <r>
    <x v="10"/>
    <x v="10"/>
    <x v="10"/>
    <x v="10"/>
  </r>
  <r>
    <x v="11"/>
    <x v="11"/>
    <x v="11"/>
    <x v="11"/>
  </r>
  <r>
    <x v="12"/>
    <x v="12"/>
    <x v="12"/>
    <x v="12"/>
  </r>
</pivotCacheRecords>
</file>

<file path=xl/pivotCache/pivotCacheRecords16.xml><?xml version="1.0" encoding="utf-8"?>
<pivotCacheRecords xmlns="http://schemas.openxmlformats.org/spreadsheetml/2006/main" xmlns:r="http://schemas.openxmlformats.org/officeDocument/2006/relationships" count="1">
  <r>
    <x v="0"/>
    <x v="0"/>
    <x v="0"/>
    <x v="0"/>
    <x v="0"/>
  </r>
</pivotCacheRecords>
</file>

<file path=xl/pivotCache/pivotCacheRecords17.xml><?xml version="1.0" encoding="utf-8"?>
<pivotCacheRecords xmlns="http://schemas.openxmlformats.org/spreadsheetml/2006/main" xmlns:r="http://schemas.openxmlformats.org/officeDocument/2006/relationships" count="1">
  <r>
    <x v="0"/>
    <x v="0"/>
    <x v="0"/>
  </r>
</pivotCacheRecords>
</file>

<file path=xl/pivotCache/pivotCacheRecords18.xml><?xml version="1.0" encoding="utf-8"?>
<pivotCacheRecords xmlns="http://schemas.openxmlformats.org/spreadsheetml/2006/main" xmlns:r="http://schemas.openxmlformats.org/officeDocument/2006/relationships" count="12">
  <r>
    <x v="0"/>
    <x v="0"/>
    <x v="0"/>
    <x v="0"/>
    <x v="0"/>
  </r>
  <r>
    <x v="1"/>
    <x v="1"/>
    <x v="1"/>
    <x v="1"/>
    <x v="1"/>
  </r>
  <r>
    <x v="2"/>
    <x v="2"/>
    <x v="2"/>
    <x v="2"/>
    <x v="2"/>
  </r>
  <r>
    <x v="3"/>
    <x v="3"/>
    <x v="3"/>
    <x v="3"/>
    <x v="3"/>
  </r>
  <r>
    <x v="4"/>
    <x v="4"/>
    <x v="4"/>
    <x v="4"/>
    <x v="4"/>
  </r>
  <r>
    <x v="5"/>
    <x v="5"/>
    <x v="5"/>
    <x v="5"/>
    <x v="5"/>
  </r>
  <r>
    <x v="6"/>
    <x v="6"/>
    <x v="6"/>
    <x v="6"/>
    <x v="6"/>
  </r>
  <r>
    <x v="7"/>
    <x v="7"/>
    <x v="7"/>
    <x v="7"/>
    <x v="7"/>
  </r>
  <r>
    <x v="8"/>
    <x v="8"/>
    <x v="8"/>
    <x v="8"/>
    <x v="8"/>
  </r>
  <r>
    <x v="9"/>
    <x v="9"/>
    <x v="9"/>
    <x v="9"/>
    <x v="9"/>
  </r>
  <r>
    <x v="10"/>
    <x v="10"/>
    <x v="10"/>
    <x v="10"/>
    <x v="10"/>
  </r>
  <r>
    <x v="11"/>
    <x v="11"/>
    <x v="11"/>
    <x v="11"/>
    <x v="11"/>
  </r>
</pivotCacheRecords>
</file>

<file path=xl/pivotCache/pivotCacheRecords19.xml><?xml version="1.0" encoding="utf-8"?>
<pivotCacheRecords xmlns="http://schemas.openxmlformats.org/spreadsheetml/2006/main" xmlns:r="http://schemas.openxmlformats.org/officeDocument/2006/relationships" count="1">
  <r>
    <x v="0"/>
    <x v="0"/>
    <x v="0"/>
  </r>
</pivotCacheRecords>
</file>

<file path=xl/pivotCache/pivotCacheRecords2.xml><?xml version="1.0" encoding="utf-8"?>
<pivotCacheRecords xmlns="http://schemas.openxmlformats.org/spreadsheetml/2006/main" xmlns:r="http://schemas.openxmlformats.org/officeDocument/2006/relationships" count="143">
  <r>
    <x v="0"/>
    <x v="0"/>
    <x v="0"/>
    <n v="170807"/>
    <n v="156787"/>
    <n v="14020"/>
    <n v="8.1999999999999993"/>
    <n v="8.2080945160327157E-2"/>
  </r>
  <r>
    <x v="1"/>
    <x v="0"/>
    <x v="0"/>
    <n v="232750"/>
    <n v="209623"/>
    <n v="23127"/>
    <n v="9.9"/>
    <n v="9.9364124597207309E-2"/>
  </r>
  <r>
    <x v="2"/>
    <x v="0"/>
    <x v="0"/>
    <n v="209373"/>
    <n v="191343"/>
    <n v="18030"/>
    <n v="8.6"/>
    <n v="8.6114255419753261E-2"/>
  </r>
  <r>
    <x v="3"/>
    <x v="0"/>
    <x v="0"/>
    <n v="382303"/>
    <n v="346400"/>
    <n v="35903"/>
    <n v="9.4"/>
    <n v="9.3912420253045359E-2"/>
  </r>
  <r>
    <x v="4"/>
    <x v="0"/>
    <x v="0"/>
    <n v="1110973"/>
    <n v="1025813"/>
    <n v="85160"/>
    <n v="7.7"/>
    <n v="7.6653528033534563E-2"/>
  </r>
  <r>
    <x v="5"/>
    <x v="0"/>
    <x v="0"/>
    <n v="403637"/>
    <n v="366237"/>
    <n v="37400"/>
    <n v="9.3000000000000007"/>
    <n v="9.2657511575995263E-2"/>
  </r>
  <r>
    <x v="6"/>
    <x v="0"/>
    <x v="0"/>
    <n v="269310"/>
    <n v="234967"/>
    <n v="34343"/>
    <n v="12.8"/>
    <n v="0.12752218632802348"/>
  </r>
  <r>
    <x v="7"/>
    <x v="0"/>
    <x v="0"/>
    <n v="127470"/>
    <n v="113897"/>
    <n v="13573"/>
    <n v="10.6"/>
    <n v="0.10647995606809445"/>
  </r>
  <r>
    <x v="8"/>
    <x v="0"/>
    <x v="0"/>
    <n v="157097"/>
    <n v="140877"/>
    <n v="16220"/>
    <n v="10.3"/>
    <n v="0.10324831155273494"/>
  </r>
  <r>
    <x v="9"/>
    <x v="0"/>
    <x v="0"/>
    <n v="98783"/>
    <n v="89223"/>
    <n v="9560"/>
    <n v="9.6999999999999993"/>
    <n v="9.6777785651377263E-2"/>
  </r>
  <r>
    <x v="10"/>
    <x v="0"/>
    <x v="0"/>
    <n v="125097"/>
    <n v="114490"/>
    <n v="10607"/>
    <n v="8.5"/>
    <n v="8.479020280262517E-2"/>
  </r>
  <r>
    <x v="11"/>
    <x v="0"/>
    <x v="0"/>
    <n v="244630"/>
    <n v="221210"/>
    <n v="23420"/>
    <n v="9.6"/>
    <n v="9.5736418264317544E-2"/>
  </r>
  <r>
    <x v="12"/>
    <x v="0"/>
    <x v="0"/>
    <n v="3469227"/>
    <n v="3210827"/>
    <n v="321347"/>
    <n v="9.2680244309434626E-2"/>
    <n v="9.2627838996986941E-2"/>
  </r>
  <r>
    <x v="0"/>
    <x v="1"/>
    <x v="1"/>
    <n v="168997"/>
    <n v="154870"/>
    <n v="14127"/>
    <n v="8.4"/>
    <n v="8.3593199879287802E-2"/>
  </r>
  <r>
    <x v="1"/>
    <x v="1"/>
    <x v="1"/>
    <n v="230537"/>
    <n v="207590"/>
    <n v="22947"/>
    <n v="10"/>
    <n v="9.9537167569630908E-2"/>
  </r>
  <r>
    <x v="2"/>
    <x v="1"/>
    <x v="1"/>
    <n v="208673"/>
    <n v="190067"/>
    <n v="18607"/>
    <n v="8.9"/>
    <n v="8.9168220133893694E-2"/>
  </r>
  <r>
    <x v="3"/>
    <x v="1"/>
    <x v="1"/>
    <n v="384130"/>
    <n v="346650"/>
    <n v="37480"/>
    <n v="9.8000000000000007"/>
    <n v="9.7571134772082374E-2"/>
  </r>
  <r>
    <x v="4"/>
    <x v="1"/>
    <x v="1"/>
    <n v="1120810"/>
    <n v="1026563"/>
    <n v="94247"/>
    <n v="8.4"/>
    <n v="8.4088293287890012E-2"/>
  </r>
  <r>
    <x v="5"/>
    <x v="1"/>
    <x v="1"/>
    <n v="397743"/>
    <n v="358583"/>
    <n v="39160"/>
    <n v="9.8000000000000007"/>
    <n v="9.8455535358258975E-2"/>
  </r>
  <r>
    <x v="6"/>
    <x v="1"/>
    <x v="1"/>
    <n v="263667"/>
    <n v="229433"/>
    <n v="34233"/>
    <n v="13"/>
    <n v="0.12983422271273992"/>
  </r>
  <r>
    <x v="7"/>
    <x v="1"/>
    <x v="1"/>
    <n v="134187"/>
    <n v="122667"/>
    <n v="11520"/>
    <n v="8.6"/>
    <n v="8.5850343177804114E-2"/>
  </r>
  <r>
    <x v="8"/>
    <x v="1"/>
    <x v="1"/>
    <n v="161897"/>
    <n v="147397"/>
    <n v="14500"/>
    <n v="9"/>
    <n v="8.9563117290623051E-2"/>
  </r>
  <r>
    <x v="9"/>
    <x v="1"/>
    <x v="1"/>
    <n v="99213"/>
    <n v="90610"/>
    <n v="8603"/>
    <n v="8.6999999999999993"/>
    <n v="8.6712426798907408E-2"/>
  </r>
  <r>
    <x v="10"/>
    <x v="1"/>
    <x v="1"/>
    <n v="129930"/>
    <n v="120613"/>
    <n v="9317"/>
    <n v="7.2"/>
    <n v="7.1707842684522433E-2"/>
  </r>
  <r>
    <x v="11"/>
    <x v="1"/>
    <x v="1"/>
    <n v="240093"/>
    <n v="218500"/>
    <n v="21593"/>
    <n v="9"/>
    <n v="8.9935983139866629E-2"/>
  </r>
  <r>
    <x v="12"/>
    <x v="1"/>
    <x v="1"/>
    <n v="3456760"/>
    <n v="3213507"/>
    <n v="326317"/>
    <n v="9.5438942114889416E-2"/>
    <n v="9.4399669054258895E-2"/>
  </r>
  <r>
    <x v="0"/>
    <x v="2"/>
    <x v="2"/>
    <n v="167483"/>
    <n v="153820"/>
    <n v="13663"/>
    <n v="8.1999999999999993"/>
    <n v="8.1578428855465929E-2"/>
  </r>
  <r>
    <x v="1"/>
    <x v="2"/>
    <x v="2"/>
    <n v="226713"/>
    <n v="204843"/>
    <n v="21870"/>
    <n v="9.6"/>
    <n v="9.646557541914226E-2"/>
  </r>
  <r>
    <x v="2"/>
    <x v="2"/>
    <x v="2"/>
    <n v="207490"/>
    <n v="188797"/>
    <n v="18693"/>
    <n v="9"/>
    <n v="9.0091088727167576E-2"/>
  </r>
  <r>
    <x v="3"/>
    <x v="2"/>
    <x v="2"/>
    <n v="383680"/>
    <n v="345043"/>
    <n v="38637"/>
    <n v="10.1"/>
    <n v="0.10070110508757298"/>
  </r>
  <r>
    <x v="4"/>
    <x v="2"/>
    <x v="2"/>
    <n v="1120347"/>
    <n v="1021793"/>
    <n v="98553"/>
    <n v="8.8000000000000007"/>
    <n v="8.7966496094513569E-2"/>
  </r>
  <r>
    <x v="5"/>
    <x v="2"/>
    <x v="2"/>
    <n v="391133"/>
    <n v="352607"/>
    <n v="38527"/>
    <n v="9.9"/>
    <n v="9.8501021391700527E-2"/>
  </r>
  <r>
    <x v="6"/>
    <x v="2"/>
    <x v="2"/>
    <n v="262243"/>
    <n v="226627"/>
    <n v="35617"/>
    <n v="13.6"/>
    <n v="0.13581678061950175"/>
  </r>
  <r>
    <x v="7"/>
    <x v="2"/>
    <x v="2"/>
    <n v="153740"/>
    <n v="142603"/>
    <n v="11137"/>
    <n v="7.2"/>
    <n v="7.2440483933914404E-2"/>
  </r>
  <r>
    <x v="8"/>
    <x v="2"/>
    <x v="2"/>
    <n v="171027"/>
    <n v="157120"/>
    <n v="13907"/>
    <n v="8.1"/>
    <n v="8.1314646225449788E-2"/>
  </r>
  <r>
    <x v="9"/>
    <x v="2"/>
    <x v="2"/>
    <n v="97273"/>
    <n v="89087"/>
    <n v="8187"/>
    <n v="8.4"/>
    <n v="8.4165184583594621E-2"/>
  </r>
  <r>
    <x v="10"/>
    <x v="2"/>
    <x v="2"/>
    <n v="133423"/>
    <n v="124350"/>
    <n v="9073"/>
    <n v="6.8"/>
    <n v="6.8001768810474955E-2"/>
  </r>
  <r>
    <x v="11"/>
    <x v="2"/>
    <x v="2"/>
    <n v="234370"/>
    <n v="213177"/>
    <n v="21193"/>
    <n v="9"/>
    <n v="9.0425395741775827E-2"/>
  </r>
  <r>
    <x v="12"/>
    <x v="2"/>
    <x v="2"/>
    <n v="3501990"/>
    <n v="1080377"/>
    <n v="329033"/>
    <n v="9.3956044366898028E-2"/>
    <n v="9.3956007869811162E-2"/>
  </r>
  <r>
    <x v="0"/>
    <x v="3"/>
    <x v="3"/>
    <n v="167833"/>
    <n v="154167"/>
    <n v="13667"/>
    <n v="8.1"/>
    <n v="8.1432137898982918E-2"/>
  </r>
  <r>
    <x v="1"/>
    <x v="3"/>
    <x v="3"/>
    <n v="228827"/>
    <n v="206177"/>
    <n v="22650"/>
    <n v="9.9"/>
    <n v="9.898307454976904E-2"/>
  </r>
  <r>
    <x v="2"/>
    <x v="3"/>
    <x v="3"/>
    <n v="205403"/>
    <n v="186587"/>
    <n v="18817"/>
    <n v="9.1999999999999993"/>
    <n v="9.1610151750461291E-2"/>
  </r>
  <r>
    <x v="3"/>
    <x v="3"/>
    <x v="3"/>
    <n v="382053"/>
    <n v="341730"/>
    <n v="40323"/>
    <n v="10.6"/>
    <n v="0.10554294822969588"/>
  </r>
  <r>
    <x v="4"/>
    <x v="3"/>
    <x v="3"/>
    <n v="1111490"/>
    <n v="1011993"/>
    <n v="99497"/>
    <n v="9"/>
    <n v="8.9516774779800093E-2"/>
  </r>
  <r>
    <x v="5"/>
    <x v="3"/>
    <x v="3"/>
    <n v="395390"/>
    <n v="356867"/>
    <n v="38523"/>
    <n v="9.6999999999999993"/>
    <n v="9.7430385189306759E-2"/>
  </r>
  <r>
    <x v="6"/>
    <x v="3"/>
    <x v="3"/>
    <n v="266790"/>
    <n v="229967"/>
    <n v="36823"/>
    <n v="13.8"/>
    <n v="0.13802241463323214"/>
  </r>
  <r>
    <x v="7"/>
    <x v="3"/>
    <x v="3"/>
    <n v="132117"/>
    <n v="119587"/>
    <n v="12530"/>
    <n v="9.5"/>
    <n v="9.4840179537833885E-2"/>
  </r>
  <r>
    <x v="8"/>
    <x v="3"/>
    <x v="3"/>
    <n v="160613"/>
    <n v="145463"/>
    <n v="15150"/>
    <n v="9.4"/>
    <n v="9.432611307926507E-2"/>
  </r>
  <r>
    <x v="9"/>
    <x v="3"/>
    <x v="3"/>
    <n v="98010"/>
    <n v="89623"/>
    <n v="8387"/>
    <n v="8.6"/>
    <n v="8.5572900724415882E-2"/>
  </r>
  <r>
    <x v="10"/>
    <x v="3"/>
    <x v="3"/>
    <n v="128993"/>
    <n v="119117"/>
    <n v="9877"/>
    <n v="7.7"/>
    <n v="7.6570046436628347E-2"/>
  </r>
  <r>
    <x v="11"/>
    <x v="3"/>
    <x v="3"/>
    <n v="239197"/>
    <n v="217123"/>
    <n v="22073"/>
    <n v="9.1999999999999993"/>
    <n v="9.2279585446305767E-2"/>
  </r>
  <r>
    <x v="12"/>
    <x v="3"/>
    <x v="3"/>
    <n v="3513173"/>
    <n v="3178390"/>
    <n v="338297"/>
    <n v="9.6294348132095683E-2"/>
    <n v="9.6293863126011722E-2"/>
  </r>
  <r>
    <x v="0"/>
    <x v="4"/>
    <x v="4"/>
    <n v="169233"/>
    <n v="152957"/>
    <n v="16277"/>
    <n v="9.6"/>
    <n v="9.6181004886753768E-2"/>
  </r>
  <r>
    <x v="1"/>
    <x v="4"/>
    <x v="4"/>
    <n v="229957"/>
    <n v="203117"/>
    <n v="26840"/>
    <n v="11.7"/>
    <n v="0.11671747326674117"/>
  </r>
  <r>
    <x v="2"/>
    <x v="4"/>
    <x v="4"/>
    <n v="206433"/>
    <n v="184077"/>
    <n v="22357"/>
    <n v="10.8"/>
    <n v="0.10830148280555919"/>
  </r>
  <r>
    <x v="3"/>
    <x v="4"/>
    <x v="4"/>
    <n v="383070"/>
    <n v="341213"/>
    <n v="41857"/>
    <n v="10.9"/>
    <n v="0.10926723575325659"/>
  </r>
  <r>
    <x v="4"/>
    <x v="4"/>
    <x v="4"/>
    <n v="1112207"/>
    <n v="1010453"/>
    <n v="101753"/>
    <n v="9.1"/>
    <n v="9.1487465912370627E-2"/>
  </r>
  <r>
    <x v="5"/>
    <x v="4"/>
    <x v="4"/>
    <n v="399893"/>
    <n v="354467"/>
    <n v="45427"/>
    <n v="11.4"/>
    <n v="0.11359788743488883"/>
  </r>
  <r>
    <x v="6"/>
    <x v="4"/>
    <x v="4"/>
    <n v="269340"/>
    <n v="228240"/>
    <n v="41100"/>
    <n v="15.3"/>
    <n v="0.15259523279126755"/>
  </r>
  <r>
    <x v="7"/>
    <x v="4"/>
    <x v="4"/>
    <n v="127410"/>
    <n v="111563"/>
    <n v="15847"/>
    <n v="12.4"/>
    <n v="0.12437799230829605"/>
  </r>
  <r>
    <x v="8"/>
    <x v="4"/>
    <x v="4"/>
    <n v="158867"/>
    <n v="139657"/>
    <n v="19210"/>
    <n v="12.1"/>
    <n v="0.12091875594050369"/>
  </r>
  <r>
    <x v="9"/>
    <x v="4"/>
    <x v="4"/>
    <n v="98540"/>
    <n v="87840"/>
    <n v="10700"/>
    <n v="10.9"/>
    <n v="0.10858534605236453"/>
  </r>
  <r>
    <x v="10"/>
    <x v="4"/>
    <x v="4"/>
    <n v="129717"/>
    <n v="117720"/>
    <n v="11997"/>
    <n v="9.1999999999999993"/>
    <n v="9.2485950183861798E-2"/>
  </r>
  <r>
    <x v="11"/>
    <x v="4"/>
    <x v="4"/>
    <n v="240403"/>
    <n v="212967"/>
    <n v="27437"/>
    <n v="11.4"/>
    <n v="0.11412919139944178"/>
  </r>
  <r>
    <x v="12"/>
    <x v="4"/>
    <x v="4"/>
    <n v="3532173"/>
    <n v="3144263"/>
    <n v="380777"/>
    <n v="0.10780424309403809"/>
    <n v="0.10780247739847397"/>
  </r>
  <r>
    <x v="0"/>
    <x v="5"/>
    <x v="5"/>
    <n v="168543"/>
    <n v="154503"/>
    <n v="14040"/>
    <n v="8.3000000000000007"/>
    <n v="8.3302184012388536E-2"/>
  </r>
  <r>
    <x v="1"/>
    <x v="5"/>
    <x v="5"/>
    <n v="228663"/>
    <n v="205760"/>
    <n v="22903"/>
    <n v="10"/>
    <n v="0.10016049820040847"/>
  </r>
  <r>
    <x v="2"/>
    <x v="5"/>
    <x v="5"/>
    <n v="207553"/>
    <n v="188673"/>
    <n v="18880"/>
    <n v="9.1"/>
    <n v="9.0964717445664478E-2"/>
  </r>
  <r>
    <x v="3"/>
    <x v="5"/>
    <x v="5"/>
    <n v="383340"/>
    <n v="344700"/>
    <n v="38640"/>
    <n v="10.1"/>
    <n v="0.10079824698700893"/>
  </r>
  <r>
    <x v="4"/>
    <x v="5"/>
    <x v="5"/>
    <n v="1116503"/>
    <n v="1020780"/>
    <n v="95723"/>
    <n v="8.6"/>
    <n v="8.5734655437558163E-2"/>
  </r>
  <r>
    <x v="5"/>
    <x v="5"/>
    <x v="5"/>
    <n v="396107"/>
    <n v="356933"/>
    <n v="39173"/>
    <n v="9.9"/>
    <n v="9.889499554413328E-2"/>
  </r>
  <r>
    <x v="6"/>
    <x v="5"/>
    <x v="5"/>
    <n v="266033"/>
    <n v="230230"/>
    <n v="35803"/>
    <n v="13.5"/>
    <n v="0.13458104821582284"/>
  </r>
  <r>
    <x v="7"/>
    <x v="5"/>
    <x v="5"/>
    <n v="135363"/>
    <n v="122903"/>
    <n v="12460"/>
    <n v="9.1999999999999993"/>
    <n v="9.2048787334796073E-2"/>
  </r>
  <r>
    <x v="8"/>
    <x v="5"/>
    <x v="5"/>
    <n v="163097"/>
    <n v="147310"/>
    <n v="15787"/>
    <n v="9.6999999999999993"/>
    <n v="9.6795158709234386E-2"/>
  </r>
  <r>
    <x v="9"/>
    <x v="5"/>
    <x v="5"/>
    <n v="99857"/>
    <n v="91133"/>
    <n v="8723"/>
    <n v="8.6999999999999993"/>
    <n v="8.7354917532070864E-2"/>
  </r>
  <r>
    <x v="10"/>
    <x v="5"/>
    <x v="5"/>
    <n v="135500"/>
    <n v="125810"/>
    <n v="9690"/>
    <n v="7.2"/>
    <n v="7.1512915129151297E-2"/>
  </r>
  <r>
    <x v="11"/>
    <x v="5"/>
    <x v="5"/>
    <n v="237310"/>
    <n v="215073"/>
    <n v="22237"/>
    <n v="9.4"/>
    <n v="9.3704437233997726E-2"/>
  </r>
  <r>
    <x v="12"/>
    <x v="5"/>
    <x v="5"/>
    <n v="3539823"/>
    <n v="3203803"/>
    <n v="334053"/>
    <n v="9.4375617837310979E-2"/>
    <n v="9.4369972735924929E-2"/>
  </r>
  <r>
    <x v="0"/>
    <x v="6"/>
    <x v="6"/>
    <n v="167310"/>
    <n v="153883"/>
    <n v="13427"/>
    <n v="8"/>
    <n v="8.025222640607256E-2"/>
  </r>
  <r>
    <x v="1"/>
    <x v="6"/>
    <x v="6"/>
    <n v="226110"/>
    <n v="204627"/>
    <n v="21483"/>
    <n v="9.5"/>
    <n v="9.5011277696696303E-2"/>
  </r>
  <r>
    <x v="2"/>
    <x v="6"/>
    <x v="6"/>
    <n v="207003"/>
    <n v="189143"/>
    <n v="17860"/>
    <n v="8.6"/>
    <n v="8.6278942817253859E-2"/>
  </r>
  <r>
    <x v="3"/>
    <x v="6"/>
    <x v="6"/>
    <n v="379930"/>
    <n v="342210"/>
    <n v="37720"/>
    <n v="9.9"/>
    <n v="9.9281446582265148E-2"/>
  </r>
  <r>
    <x v="4"/>
    <x v="6"/>
    <x v="6"/>
    <n v="1109087"/>
    <n v="1013410"/>
    <n v="95677"/>
    <n v="8.6"/>
    <n v="8.6266451594870369E-2"/>
  </r>
  <r>
    <x v="5"/>
    <x v="6"/>
    <x v="6"/>
    <n v="391683"/>
    <n v="354773"/>
    <n v="36910"/>
    <n v="9.4"/>
    <n v="9.4234368098692053E-2"/>
  </r>
  <r>
    <x v="6"/>
    <x v="6"/>
    <x v="6"/>
    <n v="263933"/>
    <n v="229630"/>
    <n v="34303"/>
    <n v="13"/>
    <n v="0.12996859051350154"/>
  </r>
  <r>
    <x v="7"/>
    <x v="6"/>
    <x v="6"/>
    <n v="150010"/>
    <n v="138553"/>
    <n v="11457"/>
    <n v="7.6"/>
    <n v="7.6374908339444034E-2"/>
  </r>
  <r>
    <x v="8"/>
    <x v="6"/>
    <x v="6"/>
    <n v="171350"/>
    <n v="156617"/>
    <n v="14733"/>
    <n v="8.6"/>
    <n v="8.598190837467172E-2"/>
  </r>
  <r>
    <x v="9"/>
    <x v="6"/>
    <x v="6"/>
    <n v="98707"/>
    <n v="90593"/>
    <n v="8113"/>
    <n v="8.1999999999999993"/>
    <n v="8.2192752287071832E-2"/>
  </r>
  <r>
    <x v="10"/>
    <x v="6"/>
    <x v="6"/>
    <n v="138703"/>
    <n v="129410"/>
    <n v="9293"/>
    <n v="6.7"/>
    <n v="6.6999271825411127E-2"/>
  </r>
  <r>
    <x v="11"/>
    <x v="6"/>
    <x v="6"/>
    <n v="232337"/>
    <n v="211583"/>
    <n v="20753"/>
    <n v="8.9"/>
    <n v="8.9322837085784867E-2"/>
  </r>
  <r>
    <x v="12"/>
    <x v="6"/>
    <x v="6"/>
    <n v="3548887"/>
    <n v="3214420"/>
    <n v="321697"/>
    <n v="9.0645114655484305E-2"/>
    <n v="9.0647293080901137E-2"/>
  </r>
  <r>
    <x v="0"/>
    <x v="7"/>
    <x v="7"/>
    <n v="167893"/>
    <n v="154707"/>
    <n v="13187"/>
    <n v="7.9"/>
    <n v="7.8544072712977905E-2"/>
  </r>
  <r>
    <x v="1"/>
    <x v="7"/>
    <x v="7"/>
    <n v="227483"/>
    <n v="206053"/>
    <n v="21430"/>
    <n v="9.4"/>
    <n v="9.4204841680477228E-2"/>
  </r>
  <r>
    <x v="2"/>
    <x v="7"/>
    <x v="7"/>
    <n v="205730"/>
    <n v="188077"/>
    <n v="17653"/>
    <n v="8.6"/>
    <n v="8.5806639770573082E-2"/>
  </r>
  <r>
    <x v="3"/>
    <x v="7"/>
    <x v="7"/>
    <n v="379867"/>
    <n v="341647"/>
    <n v="38220"/>
    <n v="10.1"/>
    <n v="0.10061416232523489"/>
  </r>
  <r>
    <x v="4"/>
    <x v="7"/>
    <x v="7"/>
    <n v="1108080"/>
    <n v="1011743"/>
    <n v="96337"/>
    <n v="8.6999999999999993"/>
    <n v="8.6940473612013569E-2"/>
  </r>
  <r>
    <x v="5"/>
    <x v="7"/>
    <x v="7"/>
    <n v="398350"/>
    <n v="362203"/>
    <n v="36147"/>
    <n v="9.1"/>
    <n v="9.0741809966110198E-2"/>
  </r>
  <r>
    <x v="6"/>
    <x v="7"/>
    <x v="7"/>
    <n v="267653"/>
    <n v="234197"/>
    <n v="33457"/>
    <n v="12.5"/>
    <n v="0.12500140106780047"/>
  </r>
  <r>
    <x v="7"/>
    <x v="7"/>
    <x v="7"/>
    <n v="134597"/>
    <n v="122583"/>
    <n v="12013"/>
    <n v="8.9"/>
    <n v="8.9251617792372784E-2"/>
  </r>
  <r>
    <x v="8"/>
    <x v="7"/>
    <x v="7"/>
    <n v="164267"/>
    <n v="149460"/>
    <n v="14807"/>
    <n v="9"/>
    <n v="9.0139833320143428E-2"/>
  </r>
  <r>
    <x v="9"/>
    <x v="7"/>
    <x v="7"/>
    <n v="98457"/>
    <n v="90553"/>
    <n v="7903"/>
    <n v="8"/>
    <n v="8.0268543628182865E-2"/>
  </r>
  <r>
    <x v="10"/>
    <x v="7"/>
    <x v="7"/>
    <n v="135183"/>
    <n v="125627"/>
    <n v="9557"/>
    <n v="7.1"/>
    <n v="7.0696759207888565E-2"/>
  </r>
  <r>
    <x v="11"/>
    <x v="7"/>
    <x v="7"/>
    <n v="239960"/>
    <n v="219157"/>
    <n v="20803"/>
    <n v="8.6999999999999993"/>
    <n v="8.669361560260043E-2"/>
  </r>
  <r>
    <x v="12"/>
    <x v="7"/>
    <x v="7"/>
    <n v="3516687"/>
    <n v="3205983"/>
    <n v="321513"/>
    <n v="9.1432721871628916E-2"/>
    <n v="9.1424969012027513E-2"/>
  </r>
  <r>
    <x v="0"/>
    <x v="8"/>
    <x v="8"/>
    <n v="166703"/>
    <n v="151840"/>
    <n v="14863"/>
    <n v="8.9"/>
    <n v="8.9158563433171564E-2"/>
  </r>
  <r>
    <x v="1"/>
    <x v="8"/>
    <x v="8"/>
    <n v="224743"/>
    <n v="200700"/>
    <n v="24043"/>
    <n v="10.7"/>
    <n v="0.10697997267990549"/>
  </r>
  <r>
    <x v="2"/>
    <x v="8"/>
    <x v="8"/>
    <n v="203350"/>
    <n v="183250"/>
    <n v="20100"/>
    <n v="9.9"/>
    <n v="9.8844357019916396E-2"/>
  </r>
  <r>
    <x v="3"/>
    <x v="8"/>
    <x v="8"/>
    <n v="380653"/>
    <n v="341623"/>
    <n v="39030"/>
    <n v="10.3"/>
    <n v="0.10253432916593327"/>
  </r>
  <r>
    <x v="4"/>
    <x v="8"/>
    <x v="8"/>
    <n v="1106450"/>
    <n v="1011677"/>
    <n v="94773"/>
    <n v="8.6"/>
    <n v="8.5655022820732979E-2"/>
  </r>
  <r>
    <x v="5"/>
    <x v="8"/>
    <x v="8"/>
    <n v="394597"/>
    <n v="354057"/>
    <n v="40540"/>
    <n v="10.3"/>
    <n v="0.1027377298864411"/>
  </r>
  <r>
    <x v="6"/>
    <x v="8"/>
    <x v="8"/>
    <n v="263647"/>
    <n v="229260"/>
    <n v="34387"/>
    <n v="13"/>
    <n v="0.13042818617317853"/>
  </r>
  <r>
    <x v="7"/>
    <x v="8"/>
    <x v="8"/>
    <n v="182687"/>
    <n v="165010"/>
    <n v="17677"/>
    <n v="9.6999999999999993"/>
    <n v="9.676112695484626E-2"/>
  </r>
  <r>
    <x v="8"/>
    <x v="8"/>
    <x v="8"/>
    <n v="158147"/>
    <n v="140503"/>
    <n v="17643"/>
    <n v="11.2"/>
    <n v="0.11156076308750719"/>
  </r>
  <r>
    <x v="9"/>
    <x v="8"/>
    <x v="8"/>
    <n v="97120"/>
    <n v="87527"/>
    <n v="9593"/>
    <n v="9.9"/>
    <n v="9.8774711696869855E-2"/>
  </r>
  <r>
    <x v="10"/>
    <x v="8"/>
    <x v="8"/>
    <n v="132293"/>
    <n v="121260"/>
    <n v="11033"/>
    <n v="8.3000000000000007"/>
    <n v="8.3398214569175996E-2"/>
  </r>
  <r>
    <x v="11"/>
    <x v="8"/>
    <x v="8"/>
    <n v="237533"/>
    <n v="212977"/>
    <n v="24557"/>
    <n v="10.3"/>
    <n v="0.10338352986742895"/>
  </r>
  <r>
    <x v="12"/>
    <x v="8"/>
    <x v="8"/>
    <n v="3525040"/>
    <n v="3148303"/>
    <n v="344730"/>
    <n v="9.7796288896816144E-2"/>
    <n v="9.7794634954496973E-2"/>
  </r>
  <r>
    <x v="0"/>
    <x v="9"/>
    <x v="9"/>
    <n v="164280"/>
    <n v="150707"/>
    <n v="13573"/>
    <n v="8.3000000000000007"/>
    <n v="8.2621134648161676E-2"/>
  </r>
  <r>
    <x v="1"/>
    <x v="9"/>
    <x v="9"/>
    <n v="223237"/>
    <n v="201337"/>
    <n v="21900"/>
    <n v="9.8000000000000007"/>
    <n v="9.8102017138735967E-2"/>
  </r>
  <r>
    <x v="2"/>
    <x v="9"/>
    <x v="9"/>
    <n v="201800"/>
    <n v="184030"/>
    <n v="17770"/>
    <n v="8.8000000000000007"/>
    <n v="8.8057482656095143E-2"/>
  </r>
  <r>
    <x v="3"/>
    <x v="9"/>
    <x v="9"/>
    <n v="375313"/>
    <n v="339247"/>
    <n v="36067"/>
    <n v="9.6"/>
    <n v="9.6098456488317746E-2"/>
  </r>
  <r>
    <x v="4"/>
    <x v="9"/>
    <x v="9"/>
    <n v="1095283"/>
    <n v="1004630"/>
    <n v="90653"/>
    <n v="8.3000000000000007"/>
    <n v="8.2766736998565668E-2"/>
  </r>
  <r>
    <x v="5"/>
    <x v="9"/>
    <x v="9"/>
    <n v="390640"/>
    <n v="353040"/>
    <n v="37600"/>
    <n v="9.6"/>
    <n v="9.6252303911529793E-2"/>
  </r>
  <r>
    <x v="6"/>
    <x v="9"/>
    <x v="9"/>
    <n v="261137"/>
    <n v="228457"/>
    <n v="32680"/>
    <n v="12.5"/>
    <n v="0.12514503881104555"/>
  </r>
  <r>
    <x v="7"/>
    <x v="9"/>
    <x v="9"/>
    <n v="134463"/>
    <n v="122640"/>
    <n v="11823"/>
    <n v="8.8000000000000007"/>
    <n v="8.7927533968452293E-2"/>
  </r>
  <r>
    <x v="8"/>
    <x v="9"/>
    <x v="9"/>
    <n v="160933"/>
    <n v="145207"/>
    <n v="15727"/>
    <n v="9.8000000000000007"/>
    <n v="9.7723897522571504E-2"/>
  </r>
  <r>
    <x v="9"/>
    <x v="9"/>
    <x v="9"/>
    <n v="97160"/>
    <n v="88857"/>
    <n v="8303"/>
    <n v="8.5"/>
    <n v="8.5456978180321122E-2"/>
  </r>
  <r>
    <x v="10"/>
    <x v="9"/>
    <x v="9"/>
    <n v="134490"/>
    <n v="124780"/>
    <n v="9710"/>
    <n v="7.2"/>
    <n v="7.2198676481522783E-2"/>
  </r>
  <r>
    <x v="11"/>
    <x v="9"/>
    <x v="9"/>
    <n v="235217"/>
    <n v="214337"/>
    <n v="20880"/>
    <n v="8.9"/>
    <n v="8.8769094070581631E-2"/>
  </r>
  <r>
    <x v="12"/>
    <x v="9"/>
    <x v="9"/>
    <n v="3537857"/>
    <n v="3157260"/>
    <n v="316673"/>
    <n v="8.9508155874124529E-2"/>
    <n v="8.9509836039161558E-2"/>
  </r>
  <r>
    <x v="0"/>
    <x v="10"/>
    <x v="10"/>
    <n v="162233"/>
    <n v="149200"/>
    <n v="13033"/>
    <n v="8"/>
    <n v="8.0335073628669873E-2"/>
  </r>
  <r>
    <x v="1"/>
    <x v="10"/>
    <x v="10"/>
    <n v="220337"/>
    <n v="199243"/>
    <n v="21093"/>
    <n v="9.6"/>
    <n v="9.573063080644649E-2"/>
  </r>
  <r>
    <x v="2"/>
    <x v="10"/>
    <x v="10"/>
    <n v="201327"/>
    <n v="184137"/>
    <n v="17190"/>
    <n v="8.5"/>
    <n v="8.5383480606178008E-2"/>
  </r>
  <r>
    <x v="3"/>
    <x v="10"/>
    <x v="10"/>
    <n v="379140"/>
    <n v="343567"/>
    <n v="35573"/>
    <n v="9.4"/>
    <n v="9.3825499815371624E-2"/>
  </r>
  <r>
    <x v="4"/>
    <x v="10"/>
    <x v="10"/>
    <n v="1109670"/>
    <n v="1017427"/>
    <n v="92243"/>
    <n v="8.3000000000000007"/>
    <n v="8.3126515090071823E-2"/>
  </r>
  <r>
    <x v="5"/>
    <x v="10"/>
    <x v="10"/>
    <n v="384263"/>
    <n v="348023"/>
    <n v="36240"/>
    <n v="9.4"/>
    <n v="9.4310407195072124E-2"/>
  </r>
  <r>
    <x v="6"/>
    <x v="10"/>
    <x v="10"/>
    <n v="254620"/>
    <n v="225457"/>
    <n v="29163"/>
    <n v="11.5"/>
    <n v="0.11453538606550939"/>
  </r>
  <r>
    <x v="7"/>
    <x v="10"/>
    <x v="10"/>
    <n v="149583"/>
    <n v="138793"/>
    <n v="10790"/>
    <n v="7.2"/>
    <n v="7.2133865479365969E-2"/>
  </r>
  <r>
    <x v="8"/>
    <x v="10"/>
    <x v="10"/>
    <n v="166043"/>
    <n v="151347"/>
    <n v="14697"/>
    <n v="8.9"/>
    <n v="8.8513216455978275E-2"/>
  </r>
  <r>
    <x v="9"/>
    <x v="10"/>
    <x v="10"/>
    <n v="95923"/>
    <n v="88103"/>
    <n v="7820"/>
    <n v="8.1999999999999993"/>
    <n v="8.1523722152142861E-2"/>
  </r>
  <r>
    <x v="10"/>
    <x v="10"/>
    <x v="10"/>
    <n v="134477"/>
    <n v="125030"/>
    <n v="9447"/>
    <n v="7"/>
    <n v="7.0249931215003308E-2"/>
  </r>
  <r>
    <x v="11"/>
    <x v="10"/>
    <x v="10"/>
    <n v="226867"/>
    <n v="206910"/>
    <n v="19957"/>
    <n v="8.8000000000000007"/>
    <n v="8.7967840188304156E-2"/>
  </r>
  <r>
    <x v="12"/>
    <x v="10"/>
    <x v="10"/>
    <n v="3536117"/>
    <n v="3177207"/>
    <n v="307217"/>
    <n v="8.6877065390972286E-2"/>
    <n v="8.6879761048630461E-2"/>
  </r>
</pivotCacheRecords>
</file>

<file path=xl/pivotCache/pivotCacheRecords20.xml><?xml version="1.0" encoding="utf-8"?>
<pivotCacheRecords xmlns="http://schemas.openxmlformats.org/spreadsheetml/2006/main" xmlns:r="http://schemas.openxmlformats.org/officeDocument/2006/relationships" count="1">
  <r>
    <x v="0"/>
    <x v="0"/>
    <x v="0"/>
    <x v="0"/>
    <x v="0"/>
    <x v="0"/>
    <x v="0"/>
    <x v="0"/>
  </r>
</pivotCacheRecords>
</file>

<file path=xl/pivotCache/pivotCacheRecords21.xml><?xml version="1.0" encoding="utf-8"?>
<pivotCacheRecords xmlns="http://schemas.openxmlformats.org/spreadsheetml/2006/main" xmlns:r="http://schemas.openxmlformats.org/officeDocument/2006/relationships" count="12">
  <r>
    <x v="0"/>
    <x v="0"/>
    <x v="0"/>
    <x v="0"/>
    <x v="0"/>
    <x v="0"/>
    <x v="0"/>
    <x v="0"/>
    <x v="0"/>
  </r>
  <r>
    <x v="1"/>
    <x v="1"/>
    <x v="1"/>
    <x v="1"/>
    <x v="1"/>
    <x v="1"/>
    <x v="1"/>
    <x v="1"/>
    <x v="1"/>
  </r>
  <r>
    <x v="2"/>
    <x v="2"/>
    <x v="2"/>
    <x v="2"/>
    <x v="2"/>
    <x v="2"/>
    <x v="2"/>
    <x v="2"/>
    <x v="2"/>
  </r>
  <r>
    <x v="3"/>
    <x v="3"/>
    <x v="3"/>
    <x v="3"/>
    <x v="3"/>
    <x v="3"/>
    <x v="3"/>
    <x v="3"/>
    <x v="3"/>
  </r>
  <r>
    <x v="4"/>
    <x v="4"/>
    <x v="4"/>
    <x v="4"/>
    <x v="4"/>
    <x v="4"/>
    <x v="4"/>
    <x v="4"/>
    <x v="4"/>
  </r>
  <r>
    <x v="5"/>
    <x v="5"/>
    <x v="5"/>
    <x v="5"/>
    <x v="5"/>
    <x v="5"/>
    <x v="5"/>
    <x v="5"/>
    <x v="5"/>
  </r>
  <r>
    <x v="6"/>
    <x v="6"/>
    <x v="6"/>
    <x v="6"/>
    <x v="6"/>
    <x v="6"/>
    <x v="6"/>
    <x v="6"/>
    <x v="6"/>
  </r>
  <r>
    <x v="7"/>
    <x v="7"/>
    <x v="7"/>
    <x v="7"/>
    <x v="7"/>
    <x v="7"/>
    <x v="7"/>
    <x v="7"/>
    <x v="7"/>
  </r>
  <r>
    <x v="8"/>
    <x v="8"/>
    <x v="8"/>
    <x v="8"/>
    <x v="8"/>
    <x v="8"/>
    <x v="8"/>
    <x v="8"/>
    <x v="8"/>
  </r>
  <r>
    <x v="9"/>
    <x v="9"/>
    <x v="9"/>
    <x v="9"/>
    <x v="9"/>
    <x v="9"/>
    <x v="9"/>
    <x v="9"/>
    <x v="9"/>
  </r>
  <r>
    <x v="10"/>
    <x v="10"/>
    <x v="10"/>
    <x v="10"/>
    <x v="10"/>
    <x v="10"/>
    <x v="10"/>
    <x v="10"/>
    <x v="10"/>
  </r>
  <r>
    <x v="11"/>
    <x v="11"/>
    <x v="11"/>
    <x v="11"/>
    <x v="11"/>
    <x v="11"/>
    <x v="11"/>
    <x v="8"/>
    <x v="11"/>
  </r>
</pivotCacheRecords>
</file>

<file path=xl/pivotCache/pivotCacheRecords3.xml><?xml version="1.0" encoding="utf-8"?>
<pivotCacheRecords xmlns="http://schemas.openxmlformats.org/spreadsheetml/2006/main" xmlns:r="http://schemas.openxmlformats.org/officeDocument/2006/relationships" count="1">
  <r>
    <x v="0"/>
    <x v="0"/>
    <x v="0"/>
    <x v="0"/>
    <x v="0"/>
    <x v="0"/>
  </r>
</pivotCacheRecords>
</file>

<file path=xl/pivotCache/pivotCacheRecords4.xml><?xml version="1.0" encoding="utf-8"?>
<pivotCacheRecords xmlns="http://schemas.openxmlformats.org/spreadsheetml/2006/main" xmlns:r="http://schemas.openxmlformats.org/officeDocument/2006/relationships" count="1">
  <r>
    <x v="0"/>
    <x v="0"/>
    <x v="0"/>
    <x v="0"/>
    <x v="0"/>
    <x v="0"/>
    <x v="0"/>
    <x v="0"/>
  </r>
</pivotCacheRecords>
</file>

<file path=xl/pivotCache/pivotCacheRecords5.xml><?xml version="1.0" encoding="utf-8"?>
<pivotCacheRecords xmlns="http://schemas.openxmlformats.org/spreadsheetml/2006/main" xmlns:r="http://schemas.openxmlformats.org/officeDocument/2006/relationships" count="1">
  <r>
    <x v="0"/>
    <x v="0"/>
    <x v="0"/>
    <x v="0"/>
    <x v="0"/>
  </r>
</pivotCacheRecords>
</file>

<file path=xl/pivotCache/pivotCacheRecords6.xml><?xml version="1.0" encoding="utf-8"?>
<pivotCacheRecords xmlns="http://schemas.openxmlformats.org/spreadsheetml/2006/main" xmlns:r="http://schemas.openxmlformats.org/officeDocument/2006/relationships" count="1">
  <r>
    <x v="0"/>
    <x v="0"/>
    <x v="0"/>
    <x v="0"/>
    <x v="0"/>
    <x v="0"/>
    <x v="0"/>
    <x v="0"/>
    <x v="0"/>
    <x v="0"/>
    <x v="0"/>
    <x v="0"/>
    <x v="0"/>
    <x v="0"/>
    <x v="0"/>
    <x v="0"/>
  </r>
</pivotCacheRecords>
</file>

<file path=xl/pivotCache/pivotCacheRecords7.xml><?xml version="1.0" encoding="utf-8"?>
<pivotCacheRecords xmlns="http://schemas.openxmlformats.org/spreadsheetml/2006/main" xmlns:r="http://schemas.openxmlformats.org/officeDocument/2006/relationships" count="12">
  <r>
    <x v="0"/>
    <x v="0"/>
    <x v="0"/>
    <x v="0"/>
    <x v="0"/>
  </r>
  <r>
    <x v="1"/>
    <x v="1"/>
    <x v="1"/>
    <x v="1"/>
    <x v="1"/>
  </r>
  <r>
    <x v="2"/>
    <x v="2"/>
    <x v="2"/>
    <x v="2"/>
    <x v="2"/>
  </r>
  <r>
    <x v="3"/>
    <x v="3"/>
    <x v="3"/>
    <x v="3"/>
    <x v="3"/>
  </r>
  <r>
    <x v="4"/>
    <x v="4"/>
    <x v="4"/>
    <x v="4"/>
    <x v="4"/>
  </r>
  <r>
    <x v="5"/>
    <x v="5"/>
    <x v="5"/>
    <x v="5"/>
    <x v="5"/>
  </r>
  <r>
    <x v="6"/>
    <x v="6"/>
    <x v="6"/>
    <x v="6"/>
    <x v="6"/>
  </r>
  <r>
    <x v="7"/>
    <x v="7"/>
    <x v="7"/>
    <x v="7"/>
    <x v="7"/>
  </r>
  <r>
    <x v="8"/>
    <x v="8"/>
    <x v="8"/>
    <x v="8"/>
    <x v="8"/>
  </r>
  <r>
    <x v="9"/>
    <x v="9"/>
    <x v="9"/>
    <x v="9"/>
    <x v="9"/>
  </r>
  <r>
    <x v="10"/>
    <x v="10"/>
    <x v="10"/>
    <x v="10"/>
    <x v="10"/>
  </r>
  <r>
    <x v="11"/>
    <x v="11"/>
    <x v="11"/>
    <x v="11"/>
    <x v="11"/>
  </r>
</pivotCacheRecords>
</file>

<file path=xl/pivotCache/pivotCacheRecords8.xml><?xml version="1.0" encoding="utf-8"?>
<pivotCacheRecords xmlns="http://schemas.openxmlformats.org/spreadsheetml/2006/main" xmlns:r="http://schemas.openxmlformats.org/officeDocument/2006/relationships" count="12">
  <r>
    <x v="0"/>
    <x v="0"/>
    <x v="0"/>
    <x v="0"/>
    <x v="0"/>
    <x v="0"/>
    <x v="0"/>
    <x v="0"/>
    <x v="0"/>
  </r>
  <r>
    <x v="1"/>
    <x v="1"/>
    <x v="1"/>
    <x v="1"/>
    <x v="1"/>
    <x v="1"/>
    <x v="1"/>
    <x v="1"/>
    <x v="1"/>
  </r>
  <r>
    <x v="2"/>
    <x v="2"/>
    <x v="2"/>
    <x v="2"/>
    <x v="2"/>
    <x v="2"/>
    <x v="2"/>
    <x v="2"/>
    <x v="2"/>
  </r>
  <r>
    <x v="3"/>
    <x v="3"/>
    <x v="3"/>
    <x v="3"/>
    <x v="3"/>
    <x v="3"/>
    <x v="3"/>
    <x v="3"/>
    <x v="3"/>
  </r>
  <r>
    <x v="4"/>
    <x v="4"/>
    <x v="4"/>
    <x v="4"/>
    <x v="4"/>
    <x v="4"/>
    <x v="4"/>
    <x v="4"/>
    <x v="4"/>
  </r>
  <r>
    <x v="5"/>
    <x v="5"/>
    <x v="5"/>
    <x v="5"/>
    <x v="5"/>
    <x v="5"/>
    <x v="5"/>
    <x v="5"/>
    <x v="5"/>
  </r>
  <r>
    <x v="6"/>
    <x v="6"/>
    <x v="6"/>
    <x v="6"/>
    <x v="6"/>
    <x v="6"/>
    <x v="6"/>
    <x v="6"/>
    <x v="6"/>
  </r>
  <r>
    <x v="7"/>
    <x v="7"/>
    <x v="7"/>
    <x v="7"/>
    <x v="7"/>
    <x v="7"/>
    <x v="7"/>
    <x v="7"/>
    <x v="7"/>
  </r>
  <r>
    <x v="8"/>
    <x v="8"/>
    <x v="8"/>
    <x v="8"/>
    <x v="8"/>
    <x v="8"/>
    <x v="8"/>
    <x v="8"/>
    <x v="8"/>
  </r>
  <r>
    <x v="9"/>
    <x v="9"/>
    <x v="9"/>
    <x v="9"/>
    <x v="9"/>
    <x v="9"/>
    <x v="9"/>
    <x v="9"/>
    <x v="9"/>
  </r>
  <r>
    <x v="10"/>
    <x v="10"/>
    <x v="10"/>
    <x v="10"/>
    <x v="10"/>
    <x v="10"/>
    <x v="10"/>
    <x v="10"/>
    <x v="10"/>
  </r>
  <r>
    <x v="11"/>
    <x v="11"/>
    <x v="11"/>
    <x v="11"/>
    <x v="11"/>
    <x v="11"/>
    <x v="11"/>
    <x v="11"/>
    <x v="11"/>
  </r>
</pivotCacheRecords>
</file>

<file path=xl/pivotCache/pivotCacheRecords9.xml><?xml version="1.0" encoding="utf-8"?>
<pivotCacheRecords xmlns="http://schemas.openxmlformats.org/spreadsheetml/2006/main" xmlns:r="http://schemas.openxmlformats.org/officeDocument/2006/relationships" count="13">
  <r>
    <x v="0"/>
    <x v="0"/>
    <x v="0"/>
    <x v="0"/>
    <x v="0"/>
    <x v="0"/>
    <x v="0"/>
  </r>
  <r>
    <x v="1"/>
    <x v="1"/>
    <x v="1"/>
    <x v="1"/>
    <x v="1"/>
    <x v="1"/>
    <x v="1"/>
  </r>
  <r>
    <x v="2"/>
    <x v="2"/>
    <x v="2"/>
    <x v="2"/>
    <x v="2"/>
    <x v="2"/>
    <x v="2"/>
  </r>
  <r>
    <x v="3"/>
    <x v="3"/>
    <x v="3"/>
    <x v="3"/>
    <x v="3"/>
    <x v="3"/>
    <x v="3"/>
  </r>
  <r>
    <x v="4"/>
    <x v="4"/>
    <x v="4"/>
    <x v="4"/>
    <x v="4"/>
    <x v="4"/>
    <x v="4"/>
  </r>
  <r>
    <x v="5"/>
    <x v="5"/>
    <x v="5"/>
    <x v="5"/>
    <x v="5"/>
    <x v="5"/>
    <x v="5"/>
  </r>
  <r>
    <x v="6"/>
    <x v="6"/>
    <x v="6"/>
    <x v="6"/>
    <x v="6"/>
    <x v="6"/>
    <x v="6"/>
  </r>
  <r>
    <x v="7"/>
    <x v="7"/>
    <x v="7"/>
    <x v="7"/>
    <x v="7"/>
    <x v="7"/>
    <x v="7"/>
  </r>
  <r>
    <x v="8"/>
    <x v="8"/>
    <x v="8"/>
    <x v="8"/>
    <x v="8"/>
    <x v="8"/>
    <x v="8"/>
  </r>
  <r>
    <x v="9"/>
    <x v="9"/>
    <x v="9"/>
    <x v="9"/>
    <x v="9"/>
    <x v="9"/>
    <x v="9"/>
  </r>
  <r>
    <x v="10"/>
    <x v="10"/>
    <x v="10"/>
    <x v="10"/>
    <x v="10"/>
    <x v="10"/>
    <x v="10"/>
  </r>
  <r>
    <x v="11"/>
    <x v="11"/>
    <x v="11"/>
    <x v="7"/>
    <x v="11"/>
    <x v="11"/>
    <x v="11"/>
  </r>
  <r>
    <x v="12"/>
    <x v="12"/>
    <x v="12"/>
    <x v="11"/>
    <x v="12"/>
    <x v="12"/>
    <x v="1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6.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12.xml"/></Relationships>
</file>

<file path=xl/pivotTables/_rels/pivotTable11.xml.rels><?xml version="1.0" encoding="UTF-8" standalone="yes"?>
<Relationships xmlns="http://schemas.openxmlformats.org/package/2006/relationships"><Relationship Id="rId1" Type="http://schemas.openxmlformats.org/officeDocument/2006/relationships/pivotCacheDefinition" Target="../pivotCache/pivotCacheDefinition21.xml"/></Relationships>
</file>

<file path=xl/pivotTables/_rels/pivotTable12.xml.rels><?xml version="1.0" encoding="UTF-8" standalone="yes"?>
<Relationships xmlns="http://schemas.openxmlformats.org/package/2006/relationships"><Relationship Id="rId1" Type="http://schemas.openxmlformats.org/officeDocument/2006/relationships/pivotCacheDefinition" Target="../pivotCache/pivotCacheDefinition7.xml"/></Relationships>
</file>

<file path=xl/pivotTables/_rels/pivotTable13.xml.rels><?xml version="1.0" encoding="UTF-8" standalone="yes"?>
<Relationships xmlns="http://schemas.openxmlformats.org/package/2006/relationships"><Relationship Id="rId1" Type="http://schemas.openxmlformats.org/officeDocument/2006/relationships/pivotCacheDefinition" Target="../pivotCache/pivotCacheDefinition11.xml"/></Relationships>
</file>

<file path=xl/pivotTables/_rels/pivotTable14.xml.rels><?xml version="1.0" encoding="UTF-8" standalone="yes"?>
<Relationships xmlns="http://schemas.openxmlformats.org/package/2006/relationships"><Relationship Id="rId1" Type="http://schemas.openxmlformats.org/officeDocument/2006/relationships/pivotCacheDefinition" Target="../pivotCache/pivotCacheDefinition8.xml"/></Relationships>
</file>

<file path=xl/pivotTables/_rels/pivotTable15.xml.rels><?xml version="1.0" encoding="UTF-8" standalone="yes"?>
<Relationships xmlns="http://schemas.openxmlformats.org/package/2006/relationships"><Relationship Id="rId1" Type="http://schemas.openxmlformats.org/officeDocument/2006/relationships/pivotCacheDefinition" Target="../pivotCache/pivotCacheDefinition18.xml"/></Relationships>
</file>

<file path=xl/pivotTables/_rels/pivotTable16.xml.rels><?xml version="1.0" encoding="UTF-8" standalone="yes"?>
<Relationships xmlns="http://schemas.openxmlformats.org/package/2006/relationships"><Relationship Id="rId1" Type="http://schemas.openxmlformats.org/officeDocument/2006/relationships/pivotCacheDefinition" Target="../pivotCache/pivotCacheDefinition15.xml"/></Relationships>
</file>

<file path=xl/pivotTables/_rels/pivotTable17.xml.rels><?xml version="1.0" encoding="UTF-8" standalone="yes"?>
<Relationships xmlns="http://schemas.openxmlformats.org/package/2006/relationships"><Relationship Id="rId1" Type="http://schemas.openxmlformats.org/officeDocument/2006/relationships/pivotCacheDefinition" Target="../pivotCache/pivotCacheDefinition10.xml"/></Relationships>
</file>

<file path=xl/pivotTables/_rels/pivotTable18.xml.rels><?xml version="1.0" encoding="UTF-8" standalone="yes"?>
<Relationships xmlns="http://schemas.openxmlformats.org/package/2006/relationships"><Relationship Id="rId1" Type="http://schemas.openxmlformats.org/officeDocument/2006/relationships/pivotCacheDefinition" Target="../pivotCache/pivotCacheDefinition14.xml"/></Relationships>
</file>

<file path=xl/pivotTables/_rels/pivotTable19.xml.rels><?xml version="1.0" encoding="UTF-8" standalone="yes"?>
<Relationships xmlns="http://schemas.openxmlformats.org/package/2006/relationships"><Relationship Id="rId1" Type="http://schemas.openxmlformats.org/officeDocument/2006/relationships/pivotCacheDefinition" Target="../pivotCache/pivotCacheDefinition9.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20.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7.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9.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20.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13.xml"/></Relationships>
</file>

<file path=xl/pivotTables/pivotTable1.xml><?xml version="1.0" encoding="utf-8"?>
<pivotTableDefinition xmlns="http://schemas.openxmlformats.org/spreadsheetml/2006/main" name="PivotTable8" cacheId="15"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fieldListSortAscending="1">
  <location ref="A16:D18" firstHeaderRow="1" firstDataRow="2" firstDataCol="0"/>
  <pivotFields count="5">
    <pivotField dataField="1" showAll="0"/>
    <pivotField showAll="0"/>
    <pivotField dataField="1" showAll="0"/>
    <pivotField dataField="1" showAll="0"/>
    <pivotField dataField="1" showAll="0"/>
  </pivotFields>
  <rowItems count="1">
    <i/>
  </rowItems>
  <colFields count="1">
    <field x="-2"/>
  </colFields>
  <colItems count="4">
    <i>
      <x/>
    </i>
    <i i="1">
      <x v="1"/>
    </i>
    <i i="2">
      <x v="2"/>
    </i>
    <i i="3">
      <x v="3"/>
    </i>
  </colItems>
  <dataFields count="4">
    <dataField name="Sum of 3COUNT OF JOB ORDERS AND JOB OPENINGS_SumOfJOB OPENINGS" fld="0" baseField="0" baseItem="0"/>
    <dataField name="Sum of 3CountOfJobORders1YearAgo_SumOfJOB OPENINGS" fld="2" baseField="0" baseItem="0"/>
    <dataField name="Sum of 3CountOfEmployersServed_CountOfEMPLOYER_ID" fld="3" baseField="0" baseItem="0"/>
    <dataField name="Sum of 3CountOfEmployersServed1YearAgo_CountOfEMPLOYER_ID" fld="4" baseField="0" baseItem="0"/>
  </dataFields>
  <pivotTableStyleInfo name="PivotStyleLight16" showRowHeaders="1" showColHeaders="1" showRowStripes="0" showColStripes="0" showLastColumn="1"/>
</pivotTableDefinition>
</file>

<file path=xl/pivotTables/pivotTable10.xml><?xml version="1.0" encoding="utf-8"?>
<pivotTableDefinition xmlns="http://schemas.openxmlformats.org/spreadsheetml/2006/main" name="PivotTable20" cacheId="11"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fieldListSortAscending="1">
  <location ref="A102:F116" firstHeaderRow="1" firstDataRow="2" firstDataCol="1"/>
  <pivotFields count="6">
    <pivotField axis="axisRow" showAll="0">
      <items count="13">
        <item x="0"/>
        <item x="1"/>
        <item x="2"/>
        <item x="3"/>
        <item x="4"/>
        <item x="5"/>
        <item x="6"/>
        <item x="7"/>
        <item x="8"/>
        <item x="9"/>
        <item x="10"/>
        <item x="11"/>
        <item t="default"/>
      </items>
    </pivotField>
    <pivotField dataField="1" showAll="0"/>
    <pivotField dataField="1" showAll="0"/>
    <pivotField dataField="1" showAll="0"/>
    <pivotField dataField="1" showAll="0"/>
    <pivotField dataField="1" showAll="0"/>
  </pivotFields>
  <rowFields count="1">
    <field x="0"/>
  </rowFields>
  <rowItems count="13">
    <i>
      <x/>
    </i>
    <i>
      <x v="1"/>
    </i>
    <i>
      <x v="2"/>
    </i>
    <i>
      <x v="3"/>
    </i>
    <i>
      <x v="4"/>
    </i>
    <i>
      <x v="5"/>
    </i>
    <i>
      <x v="6"/>
    </i>
    <i>
      <x v="7"/>
    </i>
    <i>
      <x v="8"/>
    </i>
    <i>
      <x v="9"/>
    </i>
    <i>
      <x v="10"/>
    </i>
    <i>
      <x v="11"/>
    </i>
    <i t="grand">
      <x/>
    </i>
  </rowItems>
  <colFields count="1">
    <field x="-2"/>
  </colFields>
  <colItems count="5">
    <i>
      <x/>
    </i>
    <i i="1">
      <x v="1"/>
    </i>
    <i i="2">
      <x v="2"/>
    </i>
    <i i="3">
      <x v="3"/>
    </i>
    <i i="4">
      <x v="4"/>
    </i>
  </colItems>
  <dataFields count="5">
    <dataField name="Sum of CountOfSEEKERID" fld="1" baseField="0" baseItem="0"/>
    <dataField name="Sum of CountOfSERVICEDATE" fld="2" baseField="0" baseItem="0"/>
    <dataField name="Sum of NewWages" fld="4" baseField="0" baseItem="0"/>
    <dataField name="Sum of OldWages" fld="3" baseField="0" baseItem="0"/>
    <dataField name="Sum of AvgOfDuration" fld="5" baseField="0" baseItem="0"/>
  </dataFields>
  <pivotTableStyleInfo name="PivotStyleLight16" showRowHeaders="1" showColHeaders="1" showRowStripes="0" showColStripes="0" showLastColumn="1"/>
</pivotTableDefinition>
</file>

<file path=xl/pivotTables/pivotTable11.xml><?xml version="1.0" encoding="utf-8"?>
<pivotTableDefinition xmlns="http://schemas.openxmlformats.org/spreadsheetml/2006/main" name="PivotTable1" cacheId="20"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fieldListSortAscending="1">
  <location ref="A2:I16" firstHeaderRow="1" firstDataRow="2" firstDataCol="1"/>
  <pivotFields count="9">
    <pivotField axis="axisRow" showAll="0" sortType="ascending">
      <items count="14">
        <item x="0"/>
        <item x="4"/>
        <item x="5"/>
        <item x="6"/>
        <item x="7"/>
        <item x="8"/>
        <item x="9"/>
        <item x="10"/>
        <item x="11"/>
        <item x="1"/>
        <item x="2"/>
        <item x="3"/>
        <item h="1" m="1" x="12"/>
        <item t="default"/>
      </items>
    </pivotField>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s>
  <rowFields count="1">
    <field x="0"/>
  </rowFields>
  <rowItems count="13">
    <i>
      <x/>
    </i>
    <i>
      <x v="1"/>
    </i>
    <i>
      <x v="2"/>
    </i>
    <i>
      <x v="3"/>
    </i>
    <i>
      <x v="4"/>
    </i>
    <i>
      <x v="5"/>
    </i>
    <i>
      <x v="6"/>
    </i>
    <i>
      <x v="7"/>
    </i>
    <i>
      <x v="8"/>
    </i>
    <i>
      <x v="9"/>
    </i>
    <i>
      <x v="10"/>
    </i>
    <i>
      <x v="11"/>
    </i>
    <i t="grand">
      <x/>
    </i>
  </rowItems>
  <colFields count="1">
    <field x="-2"/>
  </colFields>
  <colItems count="8">
    <i>
      <x/>
    </i>
    <i i="1">
      <x v="1"/>
    </i>
    <i i="2">
      <x v="2"/>
    </i>
    <i i="3">
      <x v="3"/>
    </i>
    <i i="4">
      <x v="4"/>
    </i>
    <i i="5">
      <x v="5"/>
    </i>
    <i i="6">
      <x v="6"/>
    </i>
    <i i="7">
      <x v="7"/>
    </i>
  </colItems>
  <dataFields count="8">
    <dataField name="Sum of all" fld="1" baseField="0" baseItem="0"/>
    <dataField name="Sum of self" fld="2" baseField="0" baseItem="0"/>
    <dataField name="Sum of staffassist" fld="3" baseField="0" baseItem="0"/>
    <dataField name="Sum of core" fld="4" baseField="0" baseItem="0"/>
    <dataField name="Sum of coreint" fld="5" baseField="0" baseItem="0"/>
    <dataField name="Sum of newtraining" fld="6" baseField="0" baseItem="0"/>
    <dataField name="Sum of ongoing" fld="7" baseField="0" baseItem="0"/>
    <dataField name="Sum of complete" fld="8" baseField="0" baseItem="0"/>
  </dataFields>
  <pivotTableStyleInfo name="PivotStyleLight16" showRowHeaders="1" showColHeaders="1" showRowStripes="0" showColStripes="0" showLastColumn="1"/>
</pivotTableDefinition>
</file>

<file path=xl/pivotTables/pivotTable12.xml><?xml version="1.0" encoding="utf-8"?>
<pivotTableDefinition xmlns="http://schemas.openxmlformats.org/spreadsheetml/2006/main" name="PivotTable2" cacheId="6"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fieldListSortAscending="1">
  <location ref="A20:E34" firstHeaderRow="1" firstDataRow="2" firstDataCol="1"/>
  <pivotFields count="5">
    <pivotField axis="axisRow" showAll="0" defaultSubtotal="0">
      <items count="12">
        <item x="0"/>
        <item x="4"/>
        <item x="5"/>
        <item x="6"/>
        <item x="7"/>
        <item x="8"/>
        <item x="9"/>
        <item x="10"/>
        <item x="11"/>
        <item x="1"/>
        <item x="2"/>
        <item x="3"/>
      </items>
    </pivotField>
    <pivotField dataField="1" showAll="0"/>
    <pivotField dataField="1" showAll="0"/>
    <pivotField dataField="1" showAll="0"/>
    <pivotField dataField="1" showAll="0"/>
  </pivotFields>
  <rowFields count="1">
    <field x="0"/>
  </rowFields>
  <rowItems count="13">
    <i>
      <x/>
    </i>
    <i>
      <x v="1"/>
    </i>
    <i>
      <x v="2"/>
    </i>
    <i>
      <x v="3"/>
    </i>
    <i>
      <x v="4"/>
    </i>
    <i>
      <x v="5"/>
    </i>
    <i>
      <x v="6"/>
    </i>
    <i>
      <x v="7"/>
    </i>
    <i>
      <x v="8"/>
    </i>
    <i>
      <x v="9"/>
    </i>
    <i>
      <x v="10"/>
    </i>
    <i>
      <x v="11"/>
    </i>
    <i t="grand">
      <x/>
    </i>
  </rowItems>
  <colFields count="1">
    <field x="-2"/>
  </colFields>
  <colItems count="4">
    <i>
      <x/>
    </i>
    <i i="1">
      <x v="1"/>
    </i>
    <i i="2">
      <x v="2"/>
    </i>
    <i i="3">
      <x v="3"/>
    </i>
  </colItems>
  <dataFields count="4">
    <dataField name="Sum of JobSearch" fld="3" baseField="0" baseItem="0"/>
    <dataField name="Sum of Assessments" fld="1" baseField="0" baseItem="0"/>
    <dataField name="Sum of SkillDevelopment" fld="2" baseField="0" baseItem="0"/>
    <dataField name="Sum of CommunityReferral" fld="4" baseField="0" baseItem="0"/>
  </dataFields>
  <pivotTableStyleInfo name="PivotStyleLight16" showRowHeaders="1" showColHeaders="1" showRowStripes="0" showColStripes="0" showLastColumn="1"/>
</pivotTableDefinition>
</file>

<file path=xl/pivotTables/pivotTable13.xml><?xml version="1.0" encoding="utf-8"?>
<pivotTableDefinition xmlns="http://schemas.openxmlformats.org/spreadsheetml/2006/main" name="PivotTable7" cacheId="10"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fieldListSortAscending="1">
  <location ref="A76:L78" firstHeaderRow="1" firstDataRow="2" firstDataCol="0"/>
  <pivotFields count="12">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s>
  <rowItems count="1">
    <i/>
  </rowItems>
  <colFields count="1">
    <field x="-2"/>
  </colFields>
  <colItems count="12">
    <i>
      <x/>
    </i>
    <i i="1">
      <x v="1"/>
    </i>
    <i i="2">
      <x v="2"/>
    </i>
    <i i="3">
      <x v="3"/>
    </i>
    <i i="4">
      <x v="4"/>
    </i>
    <i i="5">
      <x v="5"/>
    </i>
    <i i="6">
      <x v="6"/>
    </i>
    <i i="7">
      <x v="7"/>
    </i>
    <i i="8">
      <x v="8"/>
    </i>
    <i i="9">
      <x v="9"/>
    </i>
    <i i="10">
      <x v="10"/>
    </i>
    <i i="11">
      <x v="11"/>
    </i>
  </colItems>
  <dataFields count="12">
    <dataField name="Sum of 1" fld="0" baseField="0" baseItem="0"/>
    <dataField name="Sum of 2" fld="1" baseField="0" baseItem="0"/>
    <dataField name="Sum of 3" fld="2" baseField="0" baseItem="0"/>
    <dataField name="Sum of 4" fld="3" baseField="0" baseItem="0"/>
    <dataField name="Sum of 5" fld="4" baseField="0" baseItem="0"/>
    <dataField name="Sum of 6" fld="5" baseField="0" baseItem="0"/>
    <dataField name="Sum of 7" fld="6" baseField="0" baseItem="0"/>
    <dataField name="Sum of 8" fld="7" baseField="0" baseItem="0"/>
    <dataField name="Sum of 9" fld="8" baseField="0" baseItem="0"/>
    <dataField name="Sum of 10" fld="9" baseField="0" baseItem="0"/>
    <dataField name="Sum of 11" fld="10" baseField="0" baseItem="0"/>
    <dataField name="Sum of 12" fld="11" baseField="0" baseItem="0"/>
  </dataFields>
  <pivotTableStyleInfo name="PivotStyleLight16" showRowHeaders="1" showColHeaders="1" showRowStripes="0" showColStripes="0" showLastColumn="1"/>
</pivotTableDefinition>
</file>

<file path=xl/pivotTables/pivotTable14.xml><?xml version="1.0" encoding="utf-8"?>
<pivotTableDefinition xmlns="http://schemas.openxmlformats.org/spreadsheetml/2006/main" name="PivotTable3" cacheId="7"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fieldListSortAscending="1">
  <location ref="A37:I51" firstHeaderRow="1" firstDataRow="2" firstDataCol="1"/>
  <pivotFields count="9">
    <pivotField axis="axisRow" showAll="0">
      <items count="13">
        <item x="0"/>
        <item x="4"/>
        <item x="5"/>
        <item x="6"/>
        <item x="7"/>
        <item x="8"/>
        <item x="9"/>
        <item x="10"/>
        <item x="11"/>
        <item x="1"/>
        <item x="2"/>
        <item x="3"/>
        <item t="default"/>
      </items>
    </pivotField>
    <pivotField dataField="1" showAll="0"/>
    <pivotField dataField="1" showAll="0"/>
    <pivotField dataField="1" showAll="0"/>
    <pivotField dataField="1" showAll="0"/>
    <pivotField dataField="1" showAll="0"/>
    <pivotField dataField="1" showAll="0"/>
    <pivotField dataField="1" showAll="0"/>
    <pivotField dataField="1" showAll="0"/>
  </pivotFields>
  <rowFields count="1">
    <field x="0"/>
  </rowFields>
  <rowItems count="13">
    <i>
      <x/>
    </i>
    <i>
      <x v="1"/>
    </i>
    <i>
      <x v="2"/>
    </i>
    <i>
      <x v="3"/>
    </i>
    <i>
      <x v="4"/>
    </i>
    <i>
      <x v="5"/>
    </i>
    <i>
      <x v="6"/>
    </i>
    <i>
      <x v="7"/>
    </i>
    <i>
      <x v="8"/>
    </i>
    <i>
      <x v="9"/>
    </i>
    <i>
      <x v="10"/>
    </i>
    <i>
      <x v="11"/>
    </i>
    <i t="grand">
      <x/>
    </i>
  </rowItems>
  <colFields count="1">
    <field x="-2"/>
  </colFields>
  <colItems count="8">
    <i>
      <x/>
    </i>
    <i i="1">
      <x v="1"/>
    </i>
    <i i="2">
      <x v="2"/>
    </i>
    <i i="3">
      <x v="3"/>
    </i>
    <i i="4">
      <x v="4"/>
    </i>
    <i i="5">
      <x v="5"/>
    </i>
    <i i="6">
      <x v="6"/>
    </i>
    <i i="7">
      <x v="7"/>
    </i>
  </colItems>
  <dataFields count="8">
    <dataField name="Sum of currentprogram" fld="1" baseField="0" baseItem="0"/>
    <dataField name="Sum of program1yearago" fld="2" baseField="0" baseItem="0"/>
    <dataField name="Sum of wiacurrent" fld="3" baseField="0" baseItem="0"/>
    <dataField name="Sum of wia1yearago" fld="4" baseField="0" baseItem="0"/>
    <dataField name="Sum of wianewcurrent" fld="5" baseField="0" baseItem="0"/>
    <dataField name="Sum of wianew1yearago" fld="6" baseField="0" baseItem="0"/>
    <dataField name="Sum of wiaexitcurrent" fld="7" baseField="0" baseItem="0"/>
    <dataField name="Sum of wiaexit1yearago" fld="8" baseField="0" baseItem="0"/>
  </dataFields>
  <pivotTableStyleInfo name="PivotStyleLight16" showRowHeaders="1" showColHeaders="1" showRowStripes="0" showColStripes="0" showLastColumn="1"/>
</pivotTableDefinition>
</file>

<file path=xl/pivotTables/pivotTable15.xml><?xml version="1.0" encoding="utf-8"?>
<pivotTableDefinition xmlns="http://schemas.openxmlformats.org/spreadsheetml/2006/main" name="PivotTable8" cacheId="17"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fieldListSortAscending="1">
  <location ref="A82:E96" firstHeaderRow="1" firstDataRow="2" firstDataCol="1"/>
  <pivotFields count="5">
    <pivotField axis="axisRow" showAll="0">
      <items count="13">
        <item x="0"/>
        <item x="4"/>
        <item x="5"/>
        <item x="6"/>
        <item x="7"/>
        <item x="8"/>
        <item x="9"/>
        <item x="10"/>
        <item x="11"/>
        <item x="1"/>
        <item x="2"/>
        <item x="3"/>
        <item t="default"/>
      </items>
    </pivotField>
    <pivotField dataField="1" showAll="0"/>
    <pivotField dataField="1" showAll="0"/>
    <pivotField dataField="1" showAll="0"/>
    <pivotField dataField="1" showAll="0"/>
  </pivotFields>
  <rowFields count="1">
    <field x="0"/>
  </rowFields>
  <rowItems count="13">
    <i>
      <x/>
    </i>
    <i>
      <x v="1"/>
    </i>
    <i>
      <x v="2"/>
    </i>
    <i>
      <x v="3"/>
    </i>
    <i>
      <x v="4"/>
    </i>
    <i>
      <x v="5"/>
    </i>
    <i>
      <x v="6"/>
    </i>
    <i>
      <x v="7"/>
    </i>
    <i>
      <x v="8"/>
    </i>
    <i>
      <x v="9"/>
    </i>
    <i>
      <x v="10"/>
    </i>
    <i>
      <x v="11"/>
    </i>
    <i t="grand">
      <x/>
    </i>
  </rowItems>
  <colFields count="1">
    <field x="-2"/>
  </colFields>
  <colItems count="4">
    <i>
      <x/>
    </i>
    <i i="1">
      <x v="1"/>
    </i>
    <i i="2">
      <x v="2"/>
    </i>
    <i i="3">
      <x v="3"/>
    </i>
  </colItems>
  <dataFields count="4">
    <dataField name="Sum of current" fld="1" baseField="0" baseItem="0"/>
    <dataField name="Sum of Currentsalary" fld="3" baseField="0" baseItem="0"/>
    <dataField name="Sum of Lastyear" fld="2" baseField="0" baseItem="0"/>
    <dataField name="Sum of Lastyearsalary" fld="4" baseField="0" baseItem="0"/>
  </dataFields>
  <pivotTableStyleInfo name="PivotStyleLight16" showRowHeaders="1" showColHeaders="1" showRowStripes="0" showColStripes="0" showLastColumn="1"/>
</pivotTableDefinition>
</file>

<file path=xl/pivotTables/pivotTable16.xml><?xml version="1.0" encoding="utf-8"?>
<pivotTableDefinition xmlns="http://schemas.openxmlformats.org/spreadsheetml/2006/main" name="PivotTable6" cacheId="14"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fieldListSortAscending="1">
  <location ref="A183:D198" firstHeaderRow="1" firstDataRow="2" firstDataCol="1"/>
  <pivotFields count="4">
    <pivotField axis="axisRow" showAll="0">
      <items count="14">
        <item x="0"/>
        <item x="1"/>
        <item x="2"/>
        <item x="3"/>
        <item x="4"/>
        <item x="5"/>
        <item x="6"/>
        <item x="7"/>
        <item x="8"/>
        <item x="9"/>
        <item x="10"/>
        <item x="11"/>
        <item x="12"/>
        <item t="default"/>
      </items>
    </pivotField>
    <pivotField dataField="1" showAll="0"/>
    <pivotField dataField="1" showAll="0"/>
    <pivotField dataField="1" showAll="0"/>
  </pivotFields>
  <rowFields count="1">
    <field x="0"/>
  </rowFields>
  <rowItems count="14">
    <i>
      <x/>
    </i>
    <i>
      <x v="1"/>
    </i>
    <i>
      <x v="2"/>
    </i>
    <i>
      <x v="3"/>
    </i>
    <i>
      <x v="4"/>
    </i>
    <i>
      <x v="5"/>
    </i>
    <i>
      <x v="6"/>
    </i>
    <i>
      <x v="7"/>
    </i>
    <i>
      <x v="8"/>
    </i>
    <i>
      <x v="9"/>
    </i>
    <i>
      <x v="10"/>
    </i>
    <i>
      <x v="11"/>
    </i>
    <i>
      <x v="12"/>
    </i>
    <i t="grand">
      <x/>
    </i>
  </rowItems>
  <colFields count="1">
    <field x="-2"/>
  </colFields>
  <colItems count="3">
    <i>
      <x/>
    </i>
    <i i="1">
      <x v="1"/>
    </i>
    <i i="2">
      <x v="2"/>
    </i>
  </colItems>
  <dataFields count="3">
    <dataField name="Sum of OVER25COUNT_CountOfSEEKERID" fld="1" baseField="0" baseItem="0"/>
    <dataField name="Sum of HSCOUNT_CountOfSEEKERID" fld="2" baseField="0" baseItem="0"/>
    <dataField name="Sum of COLLEGECOUNT_CountOfSEEKERID" fld="3" baseField="0" baseItem="0"/>
  </dataFields>
  <pivotTableStyleInfo name="PivotStyleLight16" showRowHeaders="1" showColHeaders="1" showRowStripes="0" showColStripes="0" showLastColumn="1"/>
</pivotTableDefinition>
</file>

<file path=xl/pivotTables/pivotTable17.xml><?xml version="1.0" encoding="utf-8"?>
<pivotTableDefinition xmlns="http://schemas.openxmlformats.org/spreadsheetml/2006/main" name="PivotTable5" cacheId="9"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fieldListSortAscending="1">
  <location ref="A72:L74" firstHeaderRow="1" firstDataRow="2" firstDataCol="0"/>
  <pivotFields count="12">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s>
  <rowItems count="1">
    <i/>
  </rowItems>
  <colFields count="1">
    <field x="-2"/>
  </colFields>
  <colItems count="12">
    <i>
      <x/>
    </i>
    <i i="1">
      <x v="1"/>
    </i>
    <i i="2">
      <x v="2"/>
    </i>
    <i i="3">
      <x v="3"/>
    </i>
    <i i="4">
      <x v="4"/>
    </i>
    <i i="5">
      <x v="5"/>
    </i>
    <i i="6">
      <x v="6"/>
    </i>
    <i i="7">
      <x v="7"/>
    </i>
    <i i="8">
      <x v="8"/>
    </i>
    <i i="9">
      <x v="9"/>
    </i>
    <i i="10">
      <x v="10"/>
    </i>
    <i i="11">
      <x v="11"/>
    </i>
  </colItems>
  <dataFields count="12">
    <dataField name="Sum of 1" fld="0" baseField="0" baseItem="0"/>
    <dataField name="Sum of 2" fld="1" baseField="0" baseItem="0"/>
    <dataField name="Sum of 3" fld="2" baseField="0" baseItem="0"/>
    <dataField name="Sum of 4" fld="3" baseField="0" baseItem="0"/>
    <dataField name="Sum of 5" fld="4" baseField="0" baseItem="0"/>
    <dataField name="Sum of 6" fld="5" baseField="0" baseItem="0"/>
    <dataField name="Sum of 7" fld="6" baseField="0" baseItem="0"/>
    <dataField name="Sum of 8" fld="7" baseField="0" baseItem="0"/>
    <dataField name="Sum of 9" fld="8" baseField="0" baseItem="0"/>
    <dataField name="Sum of 10" fld="9" baseField="0" baseItem="0"/>
    <dataField name="Sum of 11" fld="10" baseField="0" baseItem="0"/>
    <dataField name="Sum of 12" fld="11" baseField="0" baseItem="0"/>
  </dataFields>
  <pivotTableStyleInfo name="PivotStyleLight16" showRowHeaders="1" showColHeaders="1" showRowStripes="0" showColStripes="0" showLastColumn="1"/>
</pivotTableDefinition>
</file>

<file path=xl/pivotTables/pivotTable18.xml><?xml version="1.0" encoding="utf-8"?>
<pivotTableDefinition xmlns="http://schemas.openxmlformats.org/spreadsheetml/2006/main" name="PivotTable12" cacheId="13"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fieldListSortAscending="1">
  <location ref="A166:I180" firstHeaderRow="1" firstDataRow="2" firstDataCol="1"/>
  <pivotFields count="9">
    <pivotField axis="axisRow" showAll="0">
      <items count="13">
        <item x="0"/>
        <item x="9"/>
        <item x="10"/>
        <item x="11"/>
        <item x="1"/>
        <item x="2"/>
        <item x="3"/>
        <item x="4"/>
        <item x="5"/>
        <item x="6"/>
        <item x="7"/>
        <item x="8"/>
        <item t="default"/>
      </items>
    </pivotField>
    <pivotField dataField="1" showAll="0"/>
    <pivotField dataField="1" showAll="0"/>
    <pivotField dataField="1" showAll="0"/>
    <pivotField dataField="1" showAll="0"/>
    <pivotField dataField="1" showAll="0"/>
    <pivotField dataField="1" showAll="0" defaultSubtotal="0"/>
    <pivotField dataField="1" showAll="0" defaultSubtotal="0"/>
    <pivotField dataField="1" showAll="0" defaultSubtotal="0"/>
  </pivotFields>
  <rowFields count="1">
    <field x="0"/>
  </rowFields>
  <rowItems count="13">
    <i>
      <x/>
    </i>
    <i>
      <x v="1"/>
    </i>
    <i>
      <x v="2"/>
    </i>
    <i>
      <x v="3"/>
    </i>
    <i>
      <x v="4"/>
    </i>
    <i>
      <x v="5"/>
    </i>
    <i>
      <x v="6"/>
    </i>
    <i>
      <x v="7"/>
    </i>
    <i>
      <x v="8"/>
    </i>
    <i>
      <x v="9"/>
    </i>
    <i>
      <x v="10"/>
    </i>
    <i>
      <x v="11"/>
    </i>
    <i t="grand">
      <x/>
    </i>
  </rowItems>
  <colFields count="1">
    <field x="-2"/>
  </colFields>
  <colItems count="8">
    <i>
      <x/>
    </i>
    <i i="1">
      <x v="1"/>
    </i>
    <i i="2">
      <x v="2"/>
    </i>
    <i i="3">
      <x v="3"/>
    </i>
    <i i="4">
      <x v="4"/>
    </i>
    <i i="5">
      <x v="5"/>
    </i>
    <i i="6">
      <x v="6"/>
    </i>
    <i i="7">
      <x v="7"/>
    </i>
  </colItems>
  <dataFields count="8">
    <dataField name="Sum of EOWIASEEKERCOUNT_CountOfSEEKER_ID" fld="1" baseField="0" baseItem="0"/>
    <dataField name="Sum of EOWIAGENDERCOUNT_CountOfSEEKER_ID" fld="2" baseField="0" baseItem="0"/>
    <dataField name="Sum of EOWIARACECOUNT_CountOfSEEKER_ID" fld="3" baseField="0" baseItem="0"/>
    <dataField name="Sum of EOWIAAGECOUNT_CountOfSEEKER_ID" fld="4" baseField="0" baseItem="0"/>
    <dataField name="Sum of EOWIADSISABILITYCOUNT_CountOfSEEKER_ID" fld="5" baseField="0" baseItem="0"/>
    <dataField name="Sum of EDUCATIONWIACOUNT_CountOfSEEKER_ID" fld="6" baseField="0" baseItem="0"/>
    <dataField name="Sum of HSWIACOUNT_CountOfSEEKER_ID" fld="7" baseField="0" baseItem="0"/>
    <dataField name="Sum of COLLEGEWIACOUNT_CountOfSEEKER_ID" fld="8" baseField="0" baseItem="0"/>
  </dataFields>
  <pivotTableStyleInfo name="PivotStyleLight16" showRowHeaders="1" showColHeaders="1" showRowStripes="0" showColStripes="0" showLastColumn="1"/>
</pivotTableDefinition>
</file>

<file path=xl/pivotTables/pivotTable19.xml><?xml version="1.0" encoding="utf-8"?>
<pivotTableDefinition xmlns="http://schemas.openxmlformats.org/spreadsheetml/2006/main" name="PivotTable4" cacheId="8"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fieldListSortAscending="1">
  <location ref="A54:E69" firstHeaderRow="1" firstDataRow="2" firstDataCol="1"/>
  <pivotFields count="7">
    <pivotField axis="axisRow" showAll="0">
      <items count="14">
        <item x="0"/>
        <item x="5"/>
        <item x="6"/>
        <item x="7"/>
        <item x="8"/>
        <item x="9"/>
        <item x="10"/>
        <item x="11"/>
        <item x="12"/>
        <item x="1"/>
        <item x="2"/>
        <item x="3"/>
        <item x="4"/>
        <item t="default"/>
      </items>
    </pivotField>
    <pivotField showAll="0" defaultSubtotal="0"/>
    <pivotField dataField="1" showAll="0" defaultSubtotal="0"/>
    <pivotField showAll="0" defaultSubtotal="0"/>
    <pivotField dataField="1" showAll="0" defaultSubtotal="0"/>
    <pivotField dataField="1" showAll="0" defaultSubtotal="0"/>
    <pivotField dataField="1" showAll="0" defaultSubtotal="0"/>
  </pivotFields>
  <rowFields count="1">
    <field x="0"/>
  </rowFields>
  <rowItems count="14">
    <i>
      <x/>
    </i>
    <i>
      <x v="1"/>
    </i>
    <i>
      <x v="2"/>
    </i>
    <i>
      <x v="3"/>
    </i>
    <i>
      <x v="4"/>
    </i>
    <i>
      <x v="5"/>
    </i>
    <i>
      <x v="6"/>
    </i>
    <i>
      <x v="7"/>
    </i>
    <i>
      <x v="8"/>
    </i>
    <i>
      <x v="9"/>
    </i>
    <i>
      <x v="10"/>
    </i>
    <i>
      <x v="11"/>
    </i>
    <i>
      <x v="12"/>
    </i>
    <i t="grand">
      <x/>
    </i>
  </rowItems>
  <colFields count="1">
    <field x="-2"/>
  </colFields>
  <colItems count="4">
    <i>
      <x/>
    </i>
    <i i="1">
      <x v="1"/>
    </i>
    <i i="2">
      <x v="2"/>
    </i>
    <i i="3">
      <x v="3"/>
    </i>
  </colItems>
  <dataFields count="4">
    <dataField name="Sum of 3COUNT OF JOB ORDERS AND JOB OPENINGS_SumOfJOB OPENINGS" fld="2" baseField="0" baseItem="0"/>
    <dataField name="Sum of 3CountOfJobORders1YearAgo_SumOfJOB OPENINGS" fld="4" baseField="0" baseItem="0"/>
    <dataField name="Sum of 3CountOfEmployersServed_CountOfEMPLOYER_ID" fld="5" baseField="0" baseItem="0"/>
    <dataField name="Sum of 3CountOfEmployersServed1YearAgo_CountOfEMPLOYER_ID" fld="6" baseField="0" baseItem="0"/>
  </dataFields>
  <pivotTableStyleInfo name="PivotStyleLight16" showRowHeaders="1" showColHeaders="1" showRowStripes="0" showColStripes="0" showLastColumn="1"/>
</pivotTableDefinition>
</file>

<file path=xl/pivotTables/pivotTable2.xml><?xml version="1.0" encoding="utf-8"?>
<pivotTableDefinition xmlns="http://schemas.openxmlformats.org/spreadsheetml/2006/main" name="PivotTable9" cacheId="4"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fieldListSortAscending="1">
  <location ref="A26:E28" firstHeaderRow="1" firstDataRow="2" firstDataCol="0"/>
  <pivotFields count="5">
    <pivotField dataField="1" showAll="0"/>
    <pivotField dataField="1" showAll="0"/>
    <pivotField dataField="1" showAll="0"/>
    <pivotField dataField="1" showAll="0"/>
    <pivotField dataField="1" showAll="0"/>
  </pivotFields>
  <rowItems count="1">
    <i/>
  </rowItems>
  <colFields count="1">
    <field x="-2"/>
  </colFields>
  <colItems count="5">
    <i>
      <x/>
    </i>
    <i i="1">
      <x v="1"/>
    </i>
    <i i="2">
      <x v="2"/>
    </i>
    <i i="3">
      <x v="3"/>
    </i>
    <i i="4">
      <x v="4"/>
    </i>
  </colItems>
  <dataFields count="5">
    <dataField name="Sum of CountOfSEEKERID" fld="0" baseField="0" baseItem="0"/>
    <dataField name="Sum of CountOfSERVICEDATE" fld="1" baseField="0" baseItem="0"/>
    <dataField name="Sum of NewWages" fld="3" baseField="0" baseItem="0"/>
    <dataField name="Sum of OldWages" fld="2" baseField="0" baseItem="0"/>
    <dataField name="Sum of AvgOfDuration" fld="4" baseField="0" baseItem="0"/>
  </dataFields>
  <pivotTableStyleInfo name="PivotStyleLight16" showRowHeaders="1" showColHeaders="1" showRowStripes="0" showColStripes="0" showLastColumn="1"/>
</pivotTableDefinition>
</file>

<file path=xl/pivotTables/pivotTable20.xml><?xml version="1.0" encoding="utf-8"?>
<pivotTableDefinition xmlns="http://schemas.openxmlformats.org/spreadsheetml/2006/main" name="PivotTable1" cacheId="1" dataOnRows="1"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location ref="A3:M73" firstHeaderRow="1" firstDataRow="2" firstDataCol="1"/>
  <pivotFields count="8">
    <pivotField axis="axisRow" numFmtId="169" showAll="0">
      <items count="14">
        <item x="12"/>
        <item x="0"/>
        <item x="1"/>
        <item x="2"/>
        <item x="3"/>
        <item x="4"/>
        <item x="5"/>
        <item x="6"/>
        <item x="7"/>
        <item x="8"/>
        <item x="9"/>
        <item x="10"/>
        <item x="11"/>
        <item t="default"/>
      </items>
    </pivotField>
    <pivotField showAll="0">
      <items count="12">
        <item x="0"/>
        <item x="1"/>
        <item x="2"/>
        <item x="3"/>
        <item x="4"/>
        <item x="5"/>
        <item x="6"/>
        <item x="7"/>
        <item x="8"/>
        <item x="9"/>
        <item x="10"/>
        <item t="default"/>
      </items>
    </pivotField>
    <pivotField axis="axisCol" showAll="0">
      <items count="12">
        <item x="0"/>
        <item x="1"/>
        <item x="2"/>
        <item x="3"/>
        <item x="4"/>
        <item x="5"/>
        <item x="6"/>
        <item x="7"/>
        <item x="8"/>
        <item x="9"/>
        <item x="10"/>
        <item t="default"/>
      </items>
    </pivotField>
    <pivotField dataField="1" numFmtId="3" showAll="0"/>
    <pivotField dataField="1" numFmtId="3" showAll="0"/>
    <pivotField dataField="1" numFmtId="3" showAll="0"/>
    <pivotField showAll="0"/>
    <pivotField dataField="1" numFmtId="10" showAll="0"/>
  </pivotFields>
  <rowFields count="2">
    <field x="0"/>
    <field x="-2"/>
  </rowFields>
  <rowItems count="69">
    <i>
      <x/>
    </i>
    <i r="1">
      <x/>
    </i>
    <i r="1" i="1">
      <x v="1"/>
    </i>
    <i r="1" i="2">
      <x v="2"/>
    </i>
    <i r="1" i="3">
      <x v="3"/>
    </i>
    <i>
      <x v="1"/>
    </i>
    <i r="1">
      <x/>
    </i>
    <i r="1" i="1">
      <x v="1"/>
    </i>
    <i r="1" i="2">
      <x v="2"/>
    </i>
    <i r="1" i="3">
      <x v="3"/>
    </i>
    <i>
      <x v="2"/>
    </i>
    <i r="1">
      <x/>
    </i>
    <i r="1" i="1">
      <x v="1"/>
    </i>
    <i r="1" i="2">
      <x v="2"/>
    </i>
    <i r="1" i="3">
      <x v="3"/>
    </i>
    <i>
      <x v="3"/>
    </i>
    <i r="1">
      <x/>
    </i>
    <i r="1" i="1">
      <x v="1"/>
    </i>
    <i r="1" i="2">
      <x v="2"/>
    </i>
    <i r="1" i="3">
      <x v="3"/>
    </i>
    <i>
      <x v="4"/>
    </i>
    <i r="1">
      <x/>
    </i>
    <i r="1" i="1">
      <x v="1"/>
    </i>
    <i r="1" i="2">
      <x v="2"/>
    </i>
    <i r="1" i="3">
      <x v="3"/>
    </i>
    <i>
      <x v="5"/>
    </i>
    <i r="1">
      <x/>
    </i>
    <i r="1" i="1">
      <x v="1"/>
    </i>
    <i r="1" i="2">
      <x v="2"/>
    </i>
    <i r="1" i="3">
      <x v="3"/>
    </i>
    <i>
      <x v="6"/>
    </i>
    <i r="1">
      <x/>
    </i>
    <i r="1" i="1">
      <x v="1"/>
    </i>
    <i r="1" i="2">
      <x v="2"/>
    </i>
    <i r="1" i="3">
      <x v="3"/>
    </i>
    <i>
      <x v="7"/>
    </i>
    <i r="1">
      <x/>
    </i>
    <i r="1" i="1">
      <x v="1"/>
    </i>
    <i r="1" i="2">
      <x v="2"/>
    </i>
    <i r="1" i="3">
      <x v="3"/>
    </i>
    <i>
      <x v="8"/>
    </i>
    <i r="1">
      <x/>
    </i>
    <i r="1" i="1">
      <x v="1"/>
    </i>
    <i r="1" i="2">
      <x v="2"/>
    </i>
    <i r="1" i="3">
      <x v="3"/>
    </i>
    <i>
      <x v="9"/>
    </i>
    <i r="1">
      <x/>
    </i>
    <i r="1" i="1">
      <x v="1"/>
    </i>
    <i r="1" i="2">
      <x v="2"/>
    </i>
    <i r="1" i="3">
      <x v="3"/>
    </i>
    <i>
      <x v="10"/>
    </i>
    <i r="1">
      <x/>
    </i>
    <i r="1" i="1">
      <x v="1"/>
    </i>
    <i r="1" i="2">
      <x v="2"/>
    </i>
    <i r="1" i="3">
      <x v="3"/>
    </i>
    <i>
      <x v="11"/>
    </i>
    <i r="1">
      <x/>
    </i>
    <i r="1" i="1">
      <x v="1"/>
    </i>
    <i r="1" i="2">
      <x v="2"/>
    </i>
    <i r="1" i="3">
      <x v="3"/>
    </i>
    <i>
      <x v="12"/>
    </i>
    <i r="1">
      <x/>
    </i>
    <i r="1" i="1">
      <x v="1"/>
    </i>
    <i r="1" i="2">
      <x v="2"/>
    </i>
    <i r="1" i="3">
      <x v="3"/>
    </i>
    <i t="grand">
      <x/>
    </i>
    <i t="grand" i="1">
      <x/>
    </i>
    <i t="grand" i="2">
      <x/>
    </i>
    <i t="grand" i="3">
      <x/>
    </i>
  </rowItems>
  <colFields count="1">
    <field x="2"/>
  </colFields>
  <colItems count="12">
    <i>
      <x/>
    </i>
    <i>
      <x v="1"/>
    </i>
    <i>
      <x v="2"/>
    </i>
    <i>
      <x v="3"/>
    </i>
    <i>
      <x v="4"/>
    </i>
    <i>
      <x v="5"/>
    </i>
    <i>
      <x v="6"/>
    </i>
    <i>
      <x v="7"/>
    </i>
    <i>
      <x v="8"/>
    </i>
    <i>
      <x v="9"/>
    </i>
    <i>
      <x v="10"/>
    </i>
    <i t="grand">
      <x/>
    </i>
  </colItems>
  <dataFields count="4">
    <dataField name="Area Labor Force" fld="3" baseField="0" baseItem="0" numFmtId="3"/>
    <dataField name="Area Employed" fld="4" baseField="0" baseItem="0" numFmtId="3"/>
    <dataField name="Area Unemployed" fld="5" baseField="0" baseItem="0" numFmtId="3"/>
    <dataField name="Area Unemployment Rate" fld="7" baseField="0" baseItem="0" numFmtId="164"/>
  </dataFields>
  <pivotTableStyleInfo name="PivotStyleLight16" showRowHeaders="1" showColHeaders="1" showRowStripes="0" showColStripes="0" showLastColumn="1"/>
</pivotTableDefinition>
</file>

<file path=xl/pivotTables/pivotTable21.xml><?xml version="1.0" encoding="utf-8"?>
<pivotTableDefinition xmlns="http://schemas.openxmlformats.org/spreadsheetml/2006/main" name="PivotTable5" cacheId="0"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location ref="A3:CC18" firstHeaderRow="1" firstDataRow="3" firstDataCol="1"/>
  <pivotFields count="11">
    <pivotField showAll="0"/>
    <pivotField showAll="0"/>
    <pivotField axis="axisCol" showAll="0">
      <items count="20">
        <item x="0"/>
        <item x="1"/>
        <item x="2"/>
        <item x="3"/>
        <item x="4"/>
        <item x="5"/>
        <item x="6"/>
        <item x="7"/>
        <item x="8"/>
        <item x="9"/>
        <item x="10"/>
        <item x="11"/>
        <item x="12"/>
        <item x="13"/>
        <item x="14"/>
        <item x="15"/>
        <item x="16"/>
        <item x="17"/>
        <item x="18"/>
        <item t="default"/>
      </items>
    </pivotField>
    <pivotField dataField="1" showAll="0"/>
    <pivotField dataField="1" showAll="0"/>
    <pivotField dataField="1" showAll="0"/>
    <pivotField showAll="0"/>
    <pivotField showAll="0"/>
    <pivotField dataField="1" showAll="0"/>
    <pivotField showAll="0"/>
    <pivotField axis="axisRow" showAll="0">
      <items count="13">
        <item x="3"/>
        <item x="5"/>
        <item x="6"/>
        <item x="10"/>
        <item x="7"/>
        <item x="9"/>
        <item x="4"/>
        <item x="0"/>
        <item x="8"/>
        <item x="1"/>
        <item x="2"/>
        <item x="11"/>
        <item t="default"/>
      </items>
    </pivotField>
  </pivotFields>
  <rowFields count="1">
    <field x="10"/>
  </rowFields>
  <rowItems count="13">
    <i>
      <x/>
    </i>
    <i>
      <x v="1"/>
    </i>
    <i>
      <x v="2"/>
    </i>
    <i>
      <x v="3"/>
    </i>
    <i>
      <x v="4"/>
    </i>
    <i>
      <x v="5"/>
    </i>
    <i>
      <x v="6"/>
    </i>
    <i>
      <x v="7"/>
    </i>
    <i>
      <x v="8"/>
    </i>
    <i>
      <x v="9"/>
    </i>
    <i>
      <x v="10"/>
    </i>
    <i>
      <x v="11"/>
    </i>
    <i t="grand">
      <x/>
    </i>
  </rowItems>
  <colFields count="2">
    <field x="2"/>
    <field x="-2"/>
  </colFields>
  <colItems count="80">
    <i>
      <x/>
      <x/>
    </i>
    <i r="1" i="1">
      <x v="1"/>
    </i>
    <i r="1" i="2">
      <x v="2"/>
    </i>
    <i r="1" i="3">
      <x v="3"/>
    </i>
    <i>
      <x v="1"/>
      <x/>
    </i>
    <i r="1" i="1">
      <x v="1"/>
    </i>
    <i r="1" i="2">
      <x v="2"/>
    </i>
    <i r="1" i="3">
      <x v="3"/>
    </i>
    <i>
      <x v="2"/>
      <x/>
    </i>
    <i r="1" i="1">
      <x v="1"/>
    </i>
    <i r="1" i="2">
      <x v="2"/>
    </i>
    <i r="1" i="3">
      <x v="3"/>
    </i>
    <i>
      <x v="3"/>
      <x/>
    </i>
    <i r="1" i="1">
      <x v="1"/>
    </i>
    <i r="1" i="2">
      <x v="2"/>
    </i>
    <i r="1" i="3">
      <x v="3"/>
    </i>
    <i>
      <x v="4"/>
      <x/>
    </i>
    <i r="1" i="1">
      <x v="1"/>
    </i>
    <i r="1" i="2">
      <x v="2"/>
    </i>
    <i r="1" i="3">
      <x v="3"/>
    </i>
    <i>
      <x v="5"/>
      <x/>
    </i>
    <i r="1" i="1">
      <x v="1"/>
    </i>
    <i r="1" i="2">
      <x v="2"/>
    </i>
    <i r="1" i="3">
      <x v="3"/>
    </i>
    <i>
      <x v="6"/>
      <x/>
    </i>
    <i r="1" i="1">
      <x v="1"/>
    </i>
    <i r="1" i="2">
      <x v="2"/>
    </i>
    <i r="1" i="3">
      <x v="3"/>
    </i>
    <i>
      <x v="7"/>
      <x/>
    </i>
    <i r="1" i="1">
      <x v="1"/>
    </i>
    <i r="1" i="2">
      <x v="2"/>
    </i>
    <i r="1" i="3">
      <x v="3"/>
    </i>
    <i>
      <x v="8"/>
      <x/>
    </i>
    <i r="1" i="1">
      <x v="1"/>
    </i>
    <i r="1" i="2">
      <x v="2"/>
    </i>
    <i r="1" i="3">
      <x v="3"/>
    </i>
    <i>
      <x v="9"/>
      <x/>
    </i>
    <i r="1" i="1">
      <x v="1"/>
    </i>
    <i r="1" i="2">
      <x v="2"/>
    </i>
    <i r="1" i="3">
      <x v="3"/>
    </i>
    <i>
      <x v="10"/>
      <x/>
    </i>
    <i r="1" i="1">
      <x v="1"/>
    </i>
    <i r="1" i="2">
      <x v="2"/>
    </i>
    <i r="1" i="3">
      <x v="3"/>
    </i>
    <i>
      <x v="11"/>
      <x/>
    </i>
    <i r="1" i="1">
      <x v="1"/>
    </i>
    <i r="1" i="2">
      <x v="2"/>
    </i>
    <i r="1" i="3">
      <x v="3"/>
    </i>
    <i>
      <x v="12"/>
      <x/>
    </i>
    <i r="1" i="1">
      <x v="1"/>
    </i>
    <i r="1" i="2">
      <x v="2"/>
    </i>
    <i r="1" i="3">
      <x v="3"/>
    </i>
    <i>
      <x v="13"/>
      <x/>
    </i>
    <i r="1" i="1">
      <x v="1"/>
    </i>
    <i r="1" i="2">
      <x v="2"/>
    </i>
    <i r="1" i="3">
      <x v="3"/>
    </i>
    <i>
      <x v="14"/>
      <x/>
    </i>
    <i r="1" i="1">
      <x v="1"/>
    </i>
    <i r="1" i="2">
      <x v="2"/>
    </i>
    <i r="1" i="3">
      <x v="3"/>
    </i>
    <i>
      <x v="15"/>
      <x/>
    </i>
    <i r="1" i="1">
      <x v="1"/>
    </i>
    <i r="1" i="2">
      <x v="2"/>
    </i>
    <i r="1" i="3">
      <x v="3"/>
    </i>
    <i>
      <x v="16"/>
      <x/>
    </i>
    <i r="1" i="1">
      <x v="1"/>
    </i>
    <i r="1" i="2">
      <x v="2"/>
    </i>
    <i r="1" i="3">
      <x v="3"/>
    </i>
    <i>
      <x v="17"/>
      <x/>
    </i>
    <i r="1" i="1">
      <x v="1"/>
    </i>
    <i r="1" i="2">
      <x v="2"/>
    </i>
    <i r="1" i="3">
      <x v="3"/>
    </i>
    <i>
      <x v="18"/>
      <x/>
    </i>
    <i r="1" i="1">
      <x v="1"/>
    </i>
    <i r="1" i="2">
      <x v="2"/>
    </i>
    <i r="1" i="3">
      <x v="3"/>
    </i>
    <i t="grand">
      <x/>
    </i>
    <i t="grand" i="1">
      <x/>
    </i>
    <i t="grand" i="2">
      <x/>
    </i>
    <i t="grand" i="3">
      <x/>
    </i>
  </colItems>
  <dataFields count="4">
    <dataField name="Sum of TOT_POP" fld="3" baseField="0" baseItem="0"/>
    <dataField name="Sum of TOT_MALE" fld="4" baseField="0" baseItem="0"/>
    <dataField name="Sum of TOT_FEMALE" fld="5" baseField="0" baseItem="0"/>
    <dataField name="Sum of Protected Racial Class" fld="8" baseField="0" baseItem="0"/>
  </dataFields>
  <pivotTableStyleInfo name="PivotStyleLight16" showRowHeaders="1" showColHeaders="1" showRowStripes="0" showColStripes="0" showLastColumn="1"/>
</pivotTableDefinition>
</file>

<file path=xl/pivotTables/pivotTable3.xml><?xml version="1.0" encoding="utf-8"?>
<pivotTableDefinition xmlns="http://schemas.openxmlformats.org/spreadsheetml/2006/main" name="PivotTable5" cacheId="2"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fieldListSortAscending="1">
  <location ref="A6:F8" firstHeaderRow="1" firstDataRow="2" firstDataCol="0"/>
  <pivotFields count="6">
    <pivotField dataField="1" showAll="0"/>
    <pivotField dataField="1" showAll="0"/>
    <pivotField dataField="1" showAll="0"/>
    <pivotField dataField="1" showAll="0"/>
    <pivotField dataField="1" showAll="0"/>
    <pivotField dataField="1" showAll="0"/>
  </pivotFields>
  <rowItems count="1">
    <i/>
  </rowItems>
  <colFields count="1">
    <field x="-2"/>
  </colFields>
  <colItems count="6">
    <i>
      <x/>
    </i>
    <i i="1">
      <x v="1"/>
    </i>
    <i i="2">
      <x v="2"/>
    </i>
    <i i="3">
      <x v="3"/>
    </i>
    <i i="4">
      <x v="4"/>
    </i>
    <i i="5">
      <x v="5"/>
    </i>
  </colItems>
  <dataFields count="6">
    <dataField name="Sum of MgtInd #1 count state_CountOfSEEKERID" fld="0" baseField="0" baseItem="0"/>
    <dataField name="Sum of MgtInd #2 count state_CountOfSEEKERID" fld="1" baseField="0" baseItem="0"/>
    <dataField name="Sum of MgtInd #3 count state_CountOfSEEKERID" fld="2" baseField="0" baseItem="0"/>
    <dataField name="Sum of CountOfSEEKER_ID" fld="5" baseField="0" baseItem="0"/>
    <dataField name="Sum of MgtInd #5 count state_CountOfSEEKERID" fld="3" baseField="0" baseItem="0"/>
    <dataField name="Sum of MgtInd #6 count state_CountOfSEEKERID" fld="4" baseField="0" baseItem="0"/>
  </dataFields>
  <pivotTableStyleInfo name="PivotStyleLight16" showRowHeaders="1" showColHeaders="1" showRowStripes="0" showColStripes="0" showLastColumn="1"/>
</pivotTableDefinition>
</file>

<file path=xl/pivotTables/pivotTable4.xml><?xml version="1.0" encoding="utf-8"?>
<pivotTableDefinition xmlns="http://schemas.openxmlformats.org/spreadsheetml/2006/main" name="PivotTable7" cacheId="3"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fieldListSortAscending="1">
  <location ref="A11:H13" firstHeaderRow="1" firstDataRow="2" firstDataCol="0"/>
  <pivotFields count="8">
    <pivotField dataField="1" showAll="0"/>
    <pivotField dataField="1" showAll="0"/>
    <pivotField dataField="1" showAll="0"/>
    <pivotField dataField="1" showAll="0"/>
    <pivotField dataField="1" showAll="0"/>
    <pivotField dataField="1" showAll="0"/>
    <pivotField dataField="1" showAll="0"/>
    <pivotField dataField="1" showAll="0"/>
  </pivotFields>
  <rowItems count="1">
    <i/>
  </rowItems>
  <colFields count="1">
    <field x="-2"/>
  </colFields>
  <colItems count="8">
    <i>
      <x/>
    </i>
    <i i="1">
      <x v="1"/>
    </i>
    <i i="2">
      <x v="2"/>
    </i>
    <i i="3">
      <x v="3"/>
    </i>
    <i i="4">
      <x v="4"/>
    </i>
    <i i="5">
      <x v="5"/>
    </i>
    <i i="6">
      <x v="6"/>
    </i>
    <i i="7">
      <x v="7"/>
    </i>
  </colItems>
  <dataFields count="8">
    <dataField name="Sum of currentprogram" fld="0" baseField="0" baseItem="0"/>
    <dataField name="Sum of program1yearago" fld="1" baseField="0" baseItem="0"/>
    <dataField name="Sum of wiacurrent" fld="2" baseField="0" baseItem="0"/>
    <dataField name="Sum of wia1yearago" fld="3" baseField="0" baseItem="0"/>
    <dataField name="Sum of wianewcurrent" fld="4" baseField="0" baseItem="0"/>
    <dataField name="Sum of wianew1yearago" fld="5" baseField="0" baseItem="0"/>
    <dataField name="Sum of wiaexitcurrent" fld="6" baseField="0" baseItem="0"/>
    <dataField name="Sum of wiaexit1yearago" fld="7" baseField="0" baseItem="0"/>
  </dataFields>
  <pivotTableStyleInfo name="PivotStyleLight16" showRowHeaders="1" showColHeaders="1" showRowStripes="0" showColStripes="0" showLastColumn="1"/>
</pivotTableDefinition>
</file>

<file path=xl/pivotTables/pivotTable5.xml><?xml version="1.0" encoding="utf-8"?>
<pivotTableDefinition xmlns="http://schemas.openxmlformats.org/spreadsheetml/2006/main" name="PivotTable1" cacheId="16"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fieldListSortAscending="1">
  <location ref="A21:C23" firstHeaderRow="1" firstDataRow="2" firstDataCol="0"/>
  <pivotFields count="3">
    <pivotField dataField="1" showAll="0" defaultSubtotal="0"/>
    <pivotField dataField="1" showAll="0" defaultSubtotal="0"/>
    <pivotField dataField="1" showAll="0" defaultSubtotal="0"/>
  </pivotFields>
  <rowItems count="1">
    <i/>
  </rowItems>
  <colFields count="1">
    <field x="-2"/>
  </colFields>
  <colItems count="3">
    <i>
      <x/>
    </i>
    <i i="1">
      <x v="1"/>
    </i>
    <i i="2">
      <x v="2"/>
    </i>
  </colItems>
  <dataFields count="3">
    <dataField name="Sum of top5" fld="0" baseField="0" baseItem="0"/>
    <dataField name="Sum of CountOfPLACEMENT_ID" fld="1" baseField="0" baseItem="0"/>
    <dataField name="Sum of AvgOfMINIMUM_SALARY" fld="2" baseField="0" baseItem="0"/>
  </dataFields>
  <pivotTableStyleInfo name="PivotStyleLight16" showRowHeaders="1" showColHeaders="1" showRowStripes="0" showColStripes="0" showLastColumn="1"/>
</pivotTableDefinition>
</file>

<file path=xl/pivotTables/pivotTable6.xml><?xml version="1.0" encoding="utf-8"?>
<pivotTableDefinition xmlns="http://schemas.openxmlformats.org/spreadsheetml/2006/main" name="PivotTable11" cacheId="5"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fieldListSortAscending="1">
  <location ref="A30:P32" firstHeaderRow="1" firstDataRow="2" firstDataCol="0"/>
  <pivotFields count="16">
    <pivotField dataField="1" showAll="0"/>
    <pivotField dataField="1" showAll="0"/>
    <pivotField dataField="1" showAll="0" defaultSubtota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s>
  <rowItems count="1">
    <i/>
  </rowItems>
  <colFields count="1">
    <field x="-2"/>
  </colFields>
  <colItems count="16">
    <i>
      <x/>
    </i>
    <i i="1">
      <x v="1"/>
    </i>
    <i i="2">
      <x v="2"/>
    </i>
    <i i="3">
      <x v="3"/>
    </i>
    <i i="4">
      <x v="4"/>
    </i>
    <i i="5">
      <x v="5"/>
    </i>
    <i i="6">
      <x v="6"/>
    </i>
    <i i="7">
      <x v="7"/>
    </i>
    <i i="8">
      <x v="8"/>
    </i>
    <i i="9">
      <x v="9"/>
    </i>
    <i i="10">
      <x v="10"/>
    </i>
    <i i="11">
      <x v="11"/>
    </i>
    <i i="12">
      <x v="12"/>
    </i>
    <i i="13">
      <x v="13"/>
    </i>
    <i i="14">
      <x v="14"/>
    </i>
    <i i="15">
      <x v="15"/>
    </i>
  </colItems>
  <dataFields count="16">
    <dataField name="Sum of EOCountofSeekersServed_CountOfSEEKERID" fld="0" baseField="0" baseItem="0"/>
    <dataField name="Sum of EOGenderCount_CountOfSEEKERID" fld="1" baseField="0" baseItem="0"/>
    <dataField name="Sum of EOAgeCount_CountOfSEEKERID" fld="3" baseField="0" baseItem="0"/>
    <dataField name="Sum of EORaceCount_CountOfSEEKERID" fld="2" baseField="0" baseItem="0"/>
    <dataField name="Sum of EODisabilityCount_CountOfSEEKERID" fld="4" baseField="0" baseItem="0"/>
    <dataField name="Sum of WIA" fld="5" baseField="0" baseItem="0"/>
    <dataField name="Sum of wiagender" fld="6" baseField="0" baseItem="0"/>
    <dataField name="Sum of wiarace" fld="7" baseField="0" baseItem="0"/>
    <dataField name="Sum of wiaage" fld="8" baseField="0" baseItem="0"/>
    <dataField name="Sum of wiadisability" fld="9" baseField="0" baseItem="0"/>
    <dataField name="Sum of Over25Count_CountOfSEEKERID" fld="10" baseField="0" baseItem="0"/>
    <dataField name="Sum of HSCount_CountOfSEEKERID" fld="11" baseField="0" baseItem="0"/>
    <dataField name="Sum of CollegeCount_CountOfSEEKERID" fld="12" baseField="0" baseItem="0"/>
    <dataField name="Sum of EOWIA&gt;25Count_CountOfSEEKER_ID" fld="13" baseField="0" baseItem="0"/>
    <dataField name="Sum of EOWIAHSCount_CountOfSEEKER_ID" fld="14" baseField="0" baseItem="0"/>
    <dataField name="Sum of EOWIACollegeCount_CountOfSEEKER_ID" fld="15" baseField="0" baseItem="0"/>
  </dataFields>
  <pivotTableStyleInfo name="PivotStyleLight16" showRowHeaders="1" showColHeaders="1" showRowStripes="0" showColStripes="0" showLastColumn="1"/>
</pivotTableDefinition>
</file>

<file path=xl/pivotTables/pivotTable7.xml><?xml version="1.0" encoding="utf-8"?>
<pivotTableDefinition xmlns="http://schemas.openxmlformats.org/spreadsheetml/2006/main" name="PivotTable10" cacheId="18"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fieldListSortAscending="1">
  <location ref="A35:C37" firstHeaderRow="1" firstDataRow="2" firstDataCol="0"/>
  <pivotFields count="3">
    <pivotField dataField="1" showAll="0" defaultSubtotal="0"/>
    <pivotField dataField="1" showAll="0" defaultSubtotal="0"/>
    <pivotField dataField="1" showAll="0"/>
  </pivotFields>
  <rowItems count="1">
    <i/>
  </rowItems>
  <colFields count="1">
    <field x="-2"/>
  </colFields>
  <colItems count="3">
    <i>
      <x/>
    </i>
    <i i="1">
      <x v="1"/>
    </i>
    <i i="2">
      <x v="2"/>
    </i>
  </colItems>
  <dataFields count="3">
    <dataField name="Sum of SumOfSumOfJobOpenings" fld="0" baseField="0" baseItem="0"/>
    <dataField name="Sum of CountOfPLACEMENT_ID" fld="1" baseField="0" baseItem="0"/>
    <dataField name="Sum of AvgOfMINIMUM_SALARY" fld="2" baseField="0" baseItem="0"/>
  </dataFields>
  <pivotTableStyleInfo name="PivotStyleLight16" showRowHeaders="1" showColHeaders="1" showRowStripes="0" showColStripes="0" showLastColumn="1"/>
</pivotTableDefinition>
</file>

<file path=xl/pivotTables/pivotTable8.xml><?xml version="1.0" encoding="utf-8"?>
<pivotTableDefinition xmlns="http://schemas.openxmlformats.org/spreadsheetml/2006/main" name="PivotTable6" cacheId="19"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fieldListSortAscending="1">
  <location ref="A2:H4" firstHeaderRow="1" firstDataRow="2" firstDataCol="0"/>
  <pivotFields count="8">
    <pivotField dataField="1" showAll="0"/>
    <pivotField dataField="1" showAll="0"/>
    <pivotField dataField="1" showAll="0"/>
    <pivotField dataField="1" showAll="0"/>
    <pivotField dataField="1" showAll="0"/>
    <pivotField dataField="1" showAll="0"/>
    <pivotField dataField="1" showAll="0"/>
    <pivotField dataField="1" showAll="0"/>
  </pivotFields>
  <rowItems count="1">
    <i/>
  </rowItems>
  <colFields count="1">
    <field x="-2"/>
  </colFields>
  <colItems count="8">
    <i>
      <x/>
    </i>
    <i i="1">
      <x v="1"/>
    </i>
    <i i="2">
      <x v="2"/>
    </i>
    <i i="3">
      <x v="3"/>
    </i>
    <i i="4">
      <x v="4"/>
    </i>
    <i i="5">
      <x v="5"/>
    </i>
    <i i="6">
      <x v="6"/>
    </i>
    <i i="7">
      <x v="7"/>
    </i>
  </colItems>
  <dataFields count="8">
    <dataField name="Sum of 1COUNT ALL_CountOfSOCIALSECURITYNUMBER" fld="0" baseField="0" baseItem="0"/>
    <dataField name="Sum of 1Count of Self-Service ONLY_CountOfSOCIALSECURITYNUMBER" fld="1" baseField="0" baseItem="0"/>
    <dataField name="Sum of 1CountOfStaffAssistedCustomers_CountOfSEEKERID" fld="2" baseField="0" baseItem="0"/>
    <dataField name="Sum of 1CountOfCoreOnly_CountOfSEEKERID" fld="3" baseField="0" baseItem="0"/>
    <dataField name="Sum of 1CountOfCoreIntensiveOnly_CountOfSEEKERID" fld="4" baseField="0" baseItem="0"/>
    <dataField name="Sum of 1CountTrainingNew_CountOfSEEKERID" fld="5" baseField="0" baseItem="0"/>
    <dataField name="Sum of 1CountTrainingOngoing_CountOfSEEKER_ID" fld="6" baseField="0" baseItem="0"/>
    <dataField name="Sum of 1CountTrainingCompletion_CountOfSEEKER_ID" fld="7" baseField="0" baseItem="0"/>
  </dataFields>
  <pivotTableStyleInfo name="PivotStyleLight16" showRowHeaders="1" showColHeaders="1" showRowStripes="0" showColStripes="0" showLastColumn="1"/>
</pivotTableDefinition>
</file>

<file path=xl/pivotTables/pivotTable9.xml><?xml version="1.0" encoding="utf-8"?>
<pivotTableDefinition xmlns="http://schemas.openxmlformats.org/spreadsheetml/2006/main" name="PivotTable11" cacheId="12"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fieldListSortAscending="1">
  <location ref="A148:F163" firstHeaderRow="1" firstDataRow="2" firstDataCol="1"/>
  <pivotFields count="6">
    <pivotField axis="axisRow" showAll="0">
      <items count="14">
        <item x="0"/>
        <item x="1"/>
        <item x="2"/>
        <item x="3"/>
        <item x="4"/>
        <item x="5"/>
        <item x="6"/>
        <item x="7"/>
        <item x="8"/>
        <item x="9"/>
        <item x="10"/>
        <item x="11"/>
        <item x="12"/>
        <item t="default"/>
      </items>
    </pivotField>
    <pivotField dataField="1" showAll="0" defaultSubtotal="0"/>
    <pivotField dataField="1" showAll="0"/>
    <pivotField dataField="1" showAll="0"/>
    <pivotField dataField="1" showAll="0"/>
    <pivotField dataField="1" showAll="0"/>
  </pivotFields>
  <rowFields count="1">
    <field x="0"/>
  </rowFields>
  <rowItems count="14">
    <i>
      <x/>
    </i>
    <i>
      <x v="1"/>
    </i>
    <i>
      <x v="2"/>
    </i>
    <i>
      <x v="3"/>
    </i>
    <i>
      <x v="4"/>
    </i>
    <i>
      <x v="5"/>
    </i>
    <i>
      <x v="6"/>
    </i>
    <i>
      <x v="7"/>
    </i>
    <i>
      <x v="8"/>
    </i>
    <i>
      <x v="9"/>
    </i>
    <i>
      <x v="10"/>
    </i>
    <i>
      <x v="11"/>
    </i>
    <i>
      <x v="12"/>
    </i>
    <i t="grand">
      <x/>
    </i>
  </rowItems>
  <colFields count="1">
    <field x="-2"/>
  </colFields>
  <colItems count="5">
    <i>
      <x/>
    </i>
    <i i="1">
      <x v="1"/>
    </i>
    <i i="2">
      <x v="2"/>
    </i>
    <i i="3">
      <x v="3"/>
    </i>
    <i i="4">
      <x v="4"/>
    </i>
  </colItems>
  <dataFields count="5">
    <dataField name="Sum of EOSeekersServedCount_CountOfSEEKERID" fld="1" baseField="0" baseItem="0"/>
    <dataField name="Sum of EOGenderCount_CountOfSEEKERID" fld="2" baseField="0" baseItem="0"/>
    <dataField name="Sum of EORaceCount_CountOfSEEKERID" fld="3" baseField="0" baseItem="0"/>
    <dataField name="Sum of EOAgeCount_CountOfSEEKERID" fld="4" baseField="0" baseItem="0"/>
    <dataField name="Sum of EODisabilityCount_CountOfSEEKERID" fld="5" baseField="0" baseItem="0"/>
  </dataFields>
  <pivotTableStyleInfo name="PivotStyleLight16" showRowHeaders="1" showColHeaders="1" showRowStripes="0" showColStripes="0" showLastColumn="1"/>
</pivotTableDefinition>
</file>

<file path=xl/tables/table1.xml><?xml version="1.0" encoding="utf-8"?>
<table xmlns="http://schemas.openxmlformats.org/spreadsheetml/2006/main" id="1" name="Table1" displayName="Table1" ref="A2:K15" totalsRowShown="0" tableBorderDxfId="10">
  <autoFilter ref="A2:K15"/>
  <sortState ref="A3:K15">
    <sortCondition ref="A2:A15"/>
  </sortState>
  <tableColumns count="11">
    <tableColumn id="1" name="Area#"/>
    <tableColumn id="2" name="Workforce Development Area" dataDxfId="9"/>
    <tableColumn id="3" name="Entered Employment" dataDxfId="8"/>
    <tableColumn id="4" name="Entered Employment Base" dataDxfId="7"/>
    <tableColumn id="5" name="Entered Employment Rate" dataDxfId="6"/>
    <tableColumn id="6" name="Employment Retention" dataDxfId="5"/>
    <tableColumn id="7" name="Employment Retention Base" dataDxfId="4"/>
    <tableColumn id="8" name="Employment Retention Rate" dataDxfId="3"/>
    <tableColumn id="9" name="Total Earnings" dataDxfId="2"/>
    <tableColumn id="10" name="Average Earnings Base" dataDxfId="1"/>
    <tableColumn id="11" name="Average Earnings" data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pivotTable" Target="../pivotTables/pivotTable16.xml"/><Relationship Id="rId3" Type="http://schemas.openxmlformats.org/officeDocument/2006/relationships/pivotTable" Target="../pivotTables/pivotTable11.xml"/><Relationship Id="rId7" Type="http://schemas.openxmlformats.org/officeDocument/2006/relationships/pivotTable" Target="../pivotTables/pivotTable15.xml"/><Relationship Id="rId12" Type="http://schemas.openxmlformats.org/officeDocument/2006/relationships/printerSettings" Target="../printerSettings/printerSettings9.bin"/><Relationship Id="rId2" Type="http://schemas.openxmlformats.org/officeDocument/2006/relationships/pivotTable" Target="../pivotTables/pivotTable10.xml"/><Relationship Id="rId1" Type="http://schemas.openxmlformats.org/officeDocument/2006/relationships/pivotTable" Target="../pivotTables/pivotTable9.xml"/><Relationship Id="rId6" Type="http://schemas.openxmlformats.org/officeDocument/2006/relationships/pivotTable" Target="../pivotTables/pivotTable14.xml"/><Relationship Id="rId11" Type="http://schemas.openxmlformats.org/officeDocument/2006/relationships/pivotTable" Target="../pivotTables/pivotTable19.xml"/><Relationship Id="rId5" Type="http://schemas.openxmlformats.org/officeDocument/2006/relationships/pivotTable" Target="../pivotTables/pivotTable13.xml"/><Relationship Id="rId10" Type="http://schemas.openxmlformats.org/officeDocument/2006/relationships/pivotTable" Target="../pivotTables/pivotTable18.xml"/><Relationship Id="rId4" Type="http://schemas.openxmlformats.org/officeDocument/2006/relationships/pivotTable" Target="../pivotTables/pivotTable12.xml"/><Relationship Id="rId9" Type="http://schemas.openxmlformats.org/officeDocument/2006/relationships/pivotTable" Target="../pivotTables/pivotTable17.xm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ivotTable" Target="../pivotTables/pivotTable20.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ivotTable" Target="../pivotTables/pivotTable21.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http://lehd.did.census.gov/cgi-bin/broker?_SERVICE=industry_focus&amp;_PROGRAM=pgm.top_report.sas&amp;_report=no&amp;_question=1+&amp;_state=+&amp;_entity=state&amp;_Ind2=off&amp;_Ind3=off&amp;_output=1&amp;_output=2&amp;_top=10&amp;_question=1&amp;_table=no&amp;_rankings=%20%20%201&amp;_sex=0&amp;_agegroup=A00&amp;_g" TargetMode="External"/><Relationship Id="rId13" Type="http://schemas.openxmlformats.org/officeDocument/2006/relationships/vmlDrawing" Target="../drawings/vmlDrawing3.vml"/><Relationship Id="rId3" Type="http://schemas.openxmlformats.org/officeDocument/2006/relationships/hyperlink" Target="http://www.workforceexplorer.com/cgi/databrowsing/localAreaProQSSelection.asp?menuChoice=localAreaPro" TargetMode="External"/><Relationship Id="rId7" Type="http://schemas.openxmlformats.org/officeDocument/2006/relationships/hyperlink" Target="http://wdr.doleta.gov/directives/corr_doc.cfm?DOCN=2195" TargetMode="External"/><Relationship Id="rId12" Type="http://schemas.openxmlformats.org/officeDocument/2006/relationships/drawing" Target="../drawings/drawing5.xml"/><Relationship Id="rId2" Type="http://schemas.openxmlformats.org/officeDocument/2006/relationships/hyperlink" Target="http://lehd.did.census.gov/cgi-bin/pivot_main?xstate=wa&amp;xstyle=lehd&amp;xyear=2010&amp;xgeographic=WIB&amp;value=00000100&amp;head=Olympic%20WIB&amp;xdata=Avg_New_Hire_Earnings" TargetMode="External"/><Relationship Id="rId16" Type="http://schemas.openxmlformats.org/officeDocument/2006/relationships/comments" Target="../comments3.xml"/><Relationship Id="rId1" Type="http://schemas.openxmlformats.org/officeDocument/2006/relationships/hyperlink" Target="http://www.k12.wa.us/dataadmin/pubdocs/GradDropout/09-10/AppendixC2009-10.xls" TargetMode="External"/><Relationship Id="rId6" Type="http://schemas.openxmlformats.org/officeDocument/2006/relationships/hyperlink" Target="http://www.workforceexplorer.com/cgi/databrowsing/localAreaProfileQSMoreResult.asp?viewAll=yes&amp;viewAllUS=&amp;currentPage=&amp;currentPageUS=&amp;sortUp=&amp;sortDown=&amp;criteria=Unemployment+Rate&amp;categoryType=employment&amp;geogArea=5301000000&amp;timeseries=&amp;more=More+Areas&amp;menu" TargetMode="External"/><Relationship Id="rId11" Type="http://schemas.openxmlformats.org/officeDocument/2006/relationships/printerSettings" Target="../printerSettings/printerSettings7.bin"/><Relationship Id="rId5" Type="http://schemas.openxmlformats.org/officeDocument/2006/relationships/hyperlink" Target="http://www.statsamerica.org/profiles/sbs_profile_frame.html" TargetMode="External"/><Relationship Id="rId15" Type="http://schemas.openxmlformats.org/officeDocument/2006/relationships/image" Target="../media/image3.emf"/><Relationship Id="rId10" Type="http://schemas.openxmlformats.org/officeDocument/2006/relationships/hyperlink" Target="https://fortress.wa.gov/esd/employmentdata/docs/industry-reports/qcew-annual-averages-2010-revised.xlsx" TargetMode="External"/><Relationship Id="rId4" Type="http://schemas.openxmlformats.org/officeDocument/2006/relationships/hyperlink" Target="http://factfinder.census.gov/servlet/STTable?_bm=y&amp;-geo_id=05000US53031&amp;-qr_name=ACS_2009_5YR_G00_S0101&amp;-ds_name=ACS_2009_5YR_G00_&amp;-redoLog=false" TargetMode="External"/><Relationship Id="rId9" Type="http://schemas.openxmlformats.org/officeDocument/2006/relationships/hyperlink" Target="http://lehd.did.census.gov/cgi-bin/broker?_SERVICE=industry_focus&amp;_PROGRAM=pgm.top_report.sas&amp;_report=no&amp;_question=1+&amp;_state=+&amp;_entity=state&amp;_Ind2=off&amp;_Ind3=off&amp;_output=1&amp;_output=2&amp;_top=10&amp;_question=1&amp;_table=no&amp;_rankings=%20%20%201&amp;_sex=0&amp;_agegroup=A00&amp;_g" TargetMode="External"/><Relationship Id="rId14" Type="http://schemas.openxmlformats.org/officeDocument/2006/relationships/oleObject" Target="../embeddings/oleObject1.bin"/></Relationships>
</file>

<file path=xl/worksheets/_rels/sheet9.xml.rels><?xml version="1.0" encoding="UTF-8" standalone="yes"?>
<Relationships xmlns="http://schemas.openxmlformats.org/package/2006/relationships"><Relationship Id="rId8" Type="http://schemas.openxmlformats.org/officeDocument/2006/relationships/pivotTable" Target="../pivotTables/pivotTable8.xml"/><Relationship Id="rId3" Type="http://schemas.openxmlformats.org/officeDocument/2006/relationships/pivotTable" Target="../pivotTables/pivotTable3.xml"/><Relationship Id="rId7" Type="http://schemas.openxmlformats.org/officeDocument/2006/relationships/pivotTable" Target="../pivotTables/pivotTable7.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4" Type="http://schemas.openxmlformats.org/officeDocument/2006/relationships/pivotTable" Target="../pivotTables/pivotTable4.xml"/><Relationship Id="rId9"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ublished="0">
    <pageSetUpPr fitToPage="1"/>
  </sheetPr>
  <dimension ref="A1:T75"/>
  <sheetViews>
    <sheetView tabSelected="1" zoomScale="120" zoomScaleNormal="120" workbookViewId="0"/>
  </sheetViews>
  <sheetFormatPr defaultRowHeight="18.75" x14ac:dyDescent="0.3"/>
  <cols>
    <col min="1" max="1" width="6.3984375" customWidth="1"/>
    <col min="2" max="2" width="26.796875" style="9" customWidth="1"/>
    <col min="3" max="3" width="15" style="122" customWidth="1"/>
    <col min="4" max="4" width="19.19921875" style="122" customWidth="1"/>
    <col min="5" max="5" width="3.19921875" style="81" customWidth="1"/>
    <col min="6" max="6" width="27.09765625" style="11" customWidth="1"/>
    <col min="7" max="7" width="20.796875" style="11" customWidth="1"/>
    <col min="8" max="8" width="14.59765625" style="11" customWidth="1"/>
    <col min="9" max="9" width="11.09765625" style="2" customWidth="1"/>
    <col min="10" max="10" width="12.59765625" style="2" customWidth="1"/>
    <col min="11" max="11" width="3.3984375" customWidth="1"/>
    <col min="12" max="12" width="20.09765625" customWidth="1"/>
    <col min="13" max="13" width="14.09765625" bestFit="1" customWidth="1"/>
    <col min="14" max="14" width="11.3984375" customWidth="1"/>
    <col min="15" max="15" width="10.5" bestFit="1" customWidth="1"/>
  </cols>
  <sheetData>
    <row r="1" spans="1:15" ht="35.25" customHeight="1" thickBot="1" x14ac:dyDescent="0.5">
      <c r="A1" s="468">
        <f>VLOOKUP(B1,Lists!F2:G13,2,)</f>
        <v>1</v>
      </c>
      <c r="B1" s="444" t="s">
        <v>107</v>
      </c>
      <c r="C1" s="474" t="s">
        <v>454</v>
      </c>
      <c r="D1" s="475">
        <v>2011</v>
      </c>
      <c r="E1" s="445"/>
      <c r="F1" s="446" t="s">
        <v>489</v>
      </c>
      <c r="G1" s="446" t="str">
        <f>VLOOKUP(F1,Lists!A20:I32,9,)</f>
        <v>JUL-SEP 2011</v>
      </c>
      <c r="H1" s="458" t="str">
        <f>VLOOKUP(B1,Lists!A2:C13,3,)</f>
        <v>I</v>
      </c>
      <c r="I1" s="446"/>
      <c r="J1" s="447"/>
      <c r="K1" s="448"/>
      <c r="L1" s="226"/>
      <c r="M1" s="226"/>
      <c r="N1" s="226"/>
      <c r="O1" s="226"/>
    </row>
    <row r="2" spans="1:15" s="20" customFormat="1" ht="27.75" customHeight="1" x14ac:dyDescent="0.5">
      <c r="A2" s="449"/>
      <c r="B2" s="522" t="s">
        <v>239</v>
      </c>
      <c r="C2" s="522"/>
      <c r="D2" s="522"/>
      <c r="E2" s="450"/>
      <c r="F2" s="520" t="s">
        <v>240</v>
      </c>
      <c r="G2" s="520"/>
      <c r="H2" s="520"/>
      <c r="I2" s="520"/>
      <c r="J2" s="520"/>
      <c r="K2" s="521"/>
      <c r="L2" s="228"/>
      <c r="M2" s="226"/>
      <c r="N2" s="226"/>
      <c r="O2" s="226"/>
    </row>
    <row r="3" spans="1:15" ht="15" customHeight="1" x14ac:dyDescent="0.3">
      <c r="A3" s="451"/>
      <c r="B3" s="274" t="s">
        <v>97</v>
      </c>
      <c r="C3" s="287"/>
      <c r="D3" s="288"/>
      <c r="E3" s="450"/>
      <c r="F3" s="229" t="s">
        <v>1</v>
      </c>
      <c r="G3" s="229" t="s">
        <v>29</v>
      </c>
      <c r="H3" s="229" t="s">
        <v>33</v>
      </c>
      <c r="I3" s="229" t="s">
        <v>56</v>
      </c>
      <c r="J3" s="229" t="s">
        <v>114</v>
      </c>
      <c r="K3" s="452"/>
      <c r="L3" s="230"/>
      <c r="M3" s="230"/>
      <c r="N3" s="230"/>
      <c r="O3" s="230"/>
    </row>
    <row r="4" spans="1:15" s="2" customFormat="1" ht="17.25" customHeight="1" x14ac:dyDescent="0.3">
      <c r="A4" s="453"/>
      <c r="B4" s="250" t="s">
        <v>8</v>
      </c>
      <c r="C4" s="250" t="s">
        <v>237</v>
      </c>
      <c r="D4" s="250" t="s">
        <v>238</v>
      </c>
      <c r="E4" s="290"/>
      <c r="F4" s="243" t="s">
        <v>30</v>
      </c>
      <c r="G4" s="244">
        <f>VLOOKUP($A$1,'Common Measures'!$A$3:$K$15,3,)</f>
        <v>8393</v>
      </c>
      <c r="H4" s="244">
        <f>VLOOKUP($A$1,'Common Measures'!$A$3:$K$15,4,)</f>
        <v>16910</v>
      </c>
      <c r="I4" s="291">
        <f>VLOOKUP($A$1,'Common Measures'!$A$3:$K$15,5,)</f>
        <v>0.5</v>
      </c>
      <c r="J4" s="292">
        <v>0.52</v>
      </c>
      <c r="K4" s="454"/>
      <c r="L4" s="232"/>
      <c r="M4" s="232"/>
      <c r="N4" s="232"/>
      <c r="O4" s="232"/>
    </row>
    <row r="5" spans="1:15" ht="15" customHeight="1" x14ac:dyDescent="0.3">
      <c r="A5" s="451"/>
      <c r="B5" s="233" t="s">
        <v>8</v>
      </c>
      <c r="C5" s="234">
        <f>GETPIVOTDATA("Sum of all",'Area Pivot Tables'!$A$2,"REGION_ID",A1)</f>
        <v>9417</v>
      </c>
      <c r="D5" s="235"/>
      <c r="E5" s="293"/>
      <c r="F5" s="243" t="s">
        <v>11</v>
      </c>
      <c r="G5" s="244">
        <f>VLOOKUP('Area Data'!A1,'Common Measures'!$A$19:$AK$31,2,)</f>
        <v>150</v>
      </c>
      <c r="H5" s="244">
        <f>VLOOKUP('Area Data'!A1,'Common Measures'!$A$19:$AK$31,3,)</f>
        <v>185</v>
      </c>
      <c r="I5" s="292">
        <f>VLOOKUP('Area Data'!A1,'Common Measures'!$A$19:$AK$31,4,)</f>
        <v>0.81081081081081086</v>
      </c>
      <c r="J5" s="292">
        <f>VLOOKUP('Area Data'!A1,'Common Measures'!$A$19:$AK$31,5,)</f>
        <v>0.77500000000000002</v>
      </c>
      <c r="K5" s="452"/>
      <c r="L5" s="230"/>
      <c r="M5" s="230"/>
      <c r="N5" s="230"/>
      <c r="O5" s="230"/>
    </row>
    <row r="6" spans="1:15" ht="15" customHeight="1" x14ac:dyDescent="0.3">
      <c r="A6" s="451"/>
      <c r="B6" s="236" t="s">
        <v>102</v>
      </c>
      <c r="C6" s="234">
        <f>GETPIVOTDATA("Sum of staffassist",'Area Pivot Tables'!$A$2,"REGION_ID",A1)</f>
        <v>5745</v>
      </c>
      <c r="D6" s="235">
        <f>C6/C5</f>
        <v>0.61006690028671551</v>
      </c>
      <c r="E6" s="293"/>
      <c r="F6" s="243" t="s">
        <v>31</v>
      </c>
      <c r="G6" s="244">
        <f>VLOOKUP('Area Data'!A1,'Common Measures'!$A$19:$AK$31,14,)</f>
        <v>191</v>
      </c>
      <c r="H6" s="244">
        <f>VLOOKUP('Area Data'!A1,'Common Measures'!$A$19:$AK$31,15,)</f>
        <v>239</v>
      </c>
      <c r="I6" s="292">
        <f>VLOOKUP('Area Data'!A1,'Common Measures'!$A$19:$AK$31,16,)</f>
        <v>0.79916317991631802</v>
      </c>
      <c r="J6" s="292">
        <f>VLOOKUP('Area Data'!A1,'Common Measures'!$A$19:$AK$31,17,)</f>
        <v>0.77400000000000002</v>
      </c>
      <c r="K6" s="452"/>
      <c r="L6" s="230"/>
      <c r="M6" s="230"/>
      <c r="N6" s="230"/>
      <c r="O6" s="230"/>
    </row>
    <row r="7" spans="1:15" ht="15" customHeight="1" x14ac:dyDescent="0.3">
      <c r="A7" s="451"/>
      <c r="B7" s="236" t="s">
        <v>52</v>
      </c>
      <c r="C7" s="234">
        <f>GETPIVOTDATA("Sum of self",'Area Pivot Tables'!$A$2,"REGION_ID",A1)</f>
        <v>3667</v>
      </c>
      <c r="D7" s="235">
        <f>C7/C5</f>
        <v>0.38940214505681214</v>
      </c>
      <c r="E7" s="293"/>
      <c r="F7" s="237" t="s">
        <v>2</v>
      </c>
      <c r="G7" s="237" t="s">
        <v>32</v>
      </c>
      <c r="H7" s="237" t="s">
        <v>33</v>
      </c>
      <c r="I7" s="237" t="s">
        <v>0</v>
      </c>
      <c r="J7" s="237" t="s">
        <v>114</v>
      </c>
      <c r="K7" s="452"/>
      <c r="L7" s="230"/>
      <c r="M7" s="230"/>
      <c r="N7" s="230"/>
      <c r="O7" s="230"/>
    </row>
    <row r="8" spans="1:15" s="2" customFormat="1" ht="17.25" customHeight="1" x14ac:dyDescent="0.3">
      <c r="A8" s="451"/>
      <c r="B8" s="250"/>
      <c r="C8" s="250" t="s">
        <v>237</v>
      </c>
      <c r="D8" s="250" t="s">
        <v>236</v>
      </c>
      <c r="E8" s="290"/>
      <c r="F8" s="243" t="s">
        <v>30</v>
      </c>
      <c r="G8" s="244">
        <f>VLOOKUP($A$1,'Common Measures'!$A$3:$K$15,6,)</f>
        <v>8026</v>
      </c>
      <c r="H8" s="244">
        <f>VLOOKUP($A$1,'Common Measures'!$A$3:$K$15,7,)</f>
        <v>10301</v>
      </c>
      <c r="I8" s="291">
        <f>VLOOKUP($A$1,'Common Measures'!$A$3:$K$15,8,)</f>
        <v>0.78</v>
      </c>
      <c r="J8" s="292">
        <v>0.76600000000000001</v>
      </c>
      <c r="K8" s="454"/>
      <c r="L8" s="238"/>
      <c r="M8" s="232"/>
      <c r="N8" s="232"/>
      <c r="O8" s="232"/>
    </row>
    <row r="9" spans="1:15" ht="15" customHeight="1" x14ac:dyDescent="0.3">
      <c r="A9" s="453"/>
      <c r="B9" s="236" t="s">
        <v>53</v>
      </c>
      <c r="C9" s="234">
        <f>GETPIVOTDATA("Sum of core",'Area Pivot Tables'!$A$2,"REGION_ID",A1)</f>
        <v>4885</v>
      </c>
      <c r="D9" s="235">
        <f>C9/$C$6</f>
        <v>0.85030461270670143</v>
      </c>
      <c r="E9" s="293"/>
      <c r="F9" s="243" t="s">
        <v>11</v>
      </c>
      <c r="G9" s="244">
        <f>VLOOKUP('Area Data'!A1,'Common Measures'!$A$19:$AK$31,6,)</f>
        <v>130</v>
      </c>
      <c r="H9" s="244">
        <f>VLOOKUP('Area Data'!A1,'Common Measures'!$A$19:$AK$31,7,)</f>
        <v>149</v>
      </c>
      <c r="I9" s="292">
        <f>VLOOKUP('Area Data'!A1,'Common Measures'!$A$19:$AK$31,8,)</f>
        <v>0.87248322147651003</v>
      </c>
      <c r="J9" s="292">
        <f>VLOOKUP('Area Data'!A1,'Common Measures'!$A$19:$AK$31,9,)</f>
        <v>0.82</v>
      </c>
      <c r="K9" s="452"/>
      <c r="L9" s="230"/>
      <c r="M9" s="230"/>
      <c r="N9" s="230"/>
      <c r="O9" s="230"/>
    </row>
    <row r="10" spans="1:15" ht="15" customHeight="1" x14ac:dyDescent="0.3">
      <c r="A10" s="451"/>
      <c r="B10" s="236" t="s">
        <v>50</v>
      </c>
      <c r="C10" s="234">
        <f>GETPIVOTDATA("Sum of coreint",'Area Pivot Tables'!$A$2,"REGION_ID",A1)</f>
        <v>744</v>
      </c>
      <c r="D10" s="235">
        <f>C10/$C$6</f>
        <v>0.12950391644908615</v>
      </c>
      <c r="E10" s="293"/>
      <c r="F10" s="243" t="s">
        <v>31</v>
      </c>
      <c r="G10" s="244">
        <f>VLOOKUP('Area Data'!A1,'Common Measures'!$A$19:$AK$31,18,)</f>
        <v>130</v>
      </c>
      <c r="H10" s="244">
        <f>VLOOKUP('Area Data'!A1,'Common Measures'!$A$19:$AK$31,19,)</f>
        <v>152</v>
      </c>
      <c r="I10" s="292">
        <f>VLOOKUP('Area Data'!A1,'Common Measures'!$A$19:$AK$31,20,)</f>
        <v>0.85526315789473684</v>
      </c>
      <c r="J10" s="292">
        <f>VLOOKUP('Area Data'!A1,'Common Measures'!$A$19:$AK$31,21,)</f>
        <v>0.84199999999999997</v>
      </c>
      <c r="K10" s="452"/>
      <c r="L10" s="230"/>
      <c r="M10" s="230"/>
      <c r="N10" s="230"/>
      <c r="O10" s="230"/>
    </row>
    <row r="11" spans="1:15" ht="15" customHeight="1" x14ac:dyDescent="0.3">
      <c r="A11" s="451"/>
      <c r="B11" s="236" t="s">
        <v>103</v>
      </c>
      <c r="C11" s="239">
        <f>GETPIVOTDATA("Sum of newtraining",'Area Pivot Tables'!$A$2,"REGION_ID",A1)</f>
        <v>113</v>
      </c>
      <c r="D11" s="235">
        <f>C11/$C$6</f>
        <v>1.9669277632724108E-2</v>
      </c>
      <c r="E11" s="293"/>
      <c r="F11" s="237" t="s">
        <v>3</v>
      </c>
      <c r="G11" s="237" t="s">
        <v>34</v>
      </c>
      <c r="H11" s="237" t="s">
        <v>33</v>
      </c>
      <c r="I11" s="237" t="s">
        <v>0</v>
      </c>
      <c r="J11" s="237" t="s">
        <v>114</v>
      </c>
      <c r="K11" s="452"/>
      <c r="L11" s="230"/>
      <c r="M11" s="230"/>
      <c r="N11" s="230"/>
      <c r="O11" s="230"/>
    </row>
    <row r="12" spans="1:15" ht="15" customHeight="1" x14ac:dyDescent="0.3">
      <c r="A12" s="451"/>
      <c r="B12" s="236" t="s">
        <v>104</v>
      </c>
      <c r="C12" s="234">
        <f>GETPIVOTDATA("Sum of ongoing",'Area Pivot Tables'!$A$2,"REGION_ID",A1)</f>
        <v>377</v>
      </c>
      <c r="D12" s="235">
        <f>C12/$C$6</f>
        <v>6.562228024369017E-2</v>
      </c>
      <c r="E12" s="293"/>
      <c r="F12" s="243" t="s">
        <v>30</v>
      </c>
      <c r="G12" s="294">
        <f>VLOOKUP($A$1,'Common Measures'!$A$3:$K$15,9,)</f>
        <v>109023482</v>
      </c>
      <c r="H12" s="295">
        <f>VLOOKUP($A$1,'Common Measures'!$A$3:$K$15,10,)</f>
        <v>7956</v>
      </c>
      <c r="I12" s="294">
        <f>VLOOKUP($A$1,'Common Measures'!$A$3:$K$15,11,)</f>
        <v>13703</v>
      </c>
      <c r="J12" s="296">
        <f>'Common Measures'!G16</f>
        <v>13500</v>
      </c>
      <c r="K12" s="452"/>
      <c r="L12" s="230"/>
      <c r="M12" s="230"/>
      <c r="N12" s="230"/>
      <c r="O12" s="230"/>
    </row>
    <row r="13" spans="1:15" ht="15" customHeight="1" x14ac:dyDescent="0.3">
      <c r="A13" s="451"/>
      <c r="B13" s="240" t="s">
        <v>37</v>
      </c>
      <c r="C13" s="241">
        <f>GETPIVOTDATA("Sum of complete",'Area Pivot Tables'!$A$2,"REGION_ID",A1)</f>
        <v>95</v>
      </c>
      <c r="D13" s="235">
        <f>C13/$C$6</f>
        <v>1.6536118363794605E-2</v>
      </c>
      <c r="E13" s="293"/>
      <c r="F13" s="243" t="s">
        <v>11</v>
      </c>
      <c r="G13" s="244">
        <f>VLOOKUP('Area Data'!A1,'Common Measures'!$A$19:$AK$31,10,)</f>
        <v>1721700</v>
      </c>
      <c r="H13" s="244">
        <f>VLOOKUP('Area Data'!A1,'Common Measures'!$A$19:$AK$31,11,)</f>
        <v>122</v>
      </c>
      <c r="I13" s="296">
        <f>VLOOKUP('Area Data'!A1,'Common Measures'!$A$19:$AK$31,12,)</f>
        <v>14112.295081967213</v>
      </c>
      <c r="J13" s="296">
        <f>VLOOKUP('Area Data'!A1,'Common Measures'!$A$19:$AK$31,13,)</f>
        <v>9721</v>
      </c>
      <c r="K13" s="452"/>
      <c r="L13" s="230"/>
      <c r="M13" s="230"/>
      <c r="N13" s="230"/>
      <c r="O13" s="230"/>
    </row>
    <row r="14" spans="1:15" ht="15" customHeight="1" x14ac:dyDescent="0.3">
      <c r="A14" s="451"/>
      <c r="B14" s="250" t="s">
        <v>98</v>
      </c>
      <c r="C14" s="250" t="s">
        <v>237</v>
      </c>
      <c r="D14" s="250" t="s">
        <v>236</v>
      </c>
      <c r="E14" s="293"/>
      <c r="F14" s="243" t="s">
        <v>31</v>
      </c>
      <c r="G14" s="244">
        <f>VLOOKUP('Area Data'!A1,'Common Measures'!$A$19:$AK$31,22,)</f>
        <v>2176433</v>
      </c>
      <c r="H14" s="244">
        <f>VLOOKUP('Area Data'!A1,'Common Measures'!$A$19:$AK$31,23,)</f>
        <v>116</v>
      </c>
      <c r="I14" s="296">
        <f>VLOOKUP('Area Data'!A1,'Common Measures'!$A$19:$AK$31,24,)</f>
        <v>18762.353448275862</v>
      </c>
      <c r="J14" s="296">
        <f>VLOOKUP('Area Data'!A1,'Common Measures'!$A$19:$AK$31,25,)</f>
        <v>14926</v>
      </c>
      <c r="K14" s="452"/>
      <c r="L14" s="230"/>
      <c r="M14" s="242"/>
      <c r="N14" s="242"/>
      <c r="O14" s="242"/>
    </row>
    <row r="15" spans="1:15" ht="15" customHeight="1" x14ac:dyDescent="0.3">
      <c r="A15" s="451"/>
      <c r="B15" s="243" t="s">
        <v>391</v>
      </c>
      <c r="C15" s="244">
        <f>GETPIVOTDATA("Sum of JobSearch",'Area Pivot Tables'!$A$20,"REGIONID",A1)</f>
        <v>4548</v>
      </c>
      <c r="D15" s="245">
        <f>C15/$C$6</f>
        <v>0.79164490861618797</v>
      </c>
      <c r="E15" s="293"/>
      <c r="F15" s="237" t="s">
        <v>4</v>
      </c>
      <c r="G15" s="237" t="s">
        <v>39</v>
      </c>
      <c r="H15" s="237" t="s">
        <v>33</v>
      </c>
      <c r="I15" s="237" t="s">
        <v>0</v>
      </c>
      <c r="J15" s="237" t="s">
        <v>114</v>
      </c>
      <c r="K15" s="452"/>
      <c r="L15" s="230"/>
      <c r="M15" s="230"/>
      <c r="N15" s="230"/>
      <c r="O15" s="230"/>
    </row>
    <row r="16" spans="1:15" ht="15" customHeight="1" x14ac:dyDescent="0.3">
      <c r="A16" s="451"/>
      <c r="B16" s="246" t="s">
        <v>54</v>
      </c>
      <c r="C16" s="234">
        <f>GETPIVOTDATA("Sum of Assessments",'Area Pivot Tables'!$A$20,"REGIONID",A1)</f>
        <v>2678</v>
      </c>
      <c r="D16" s="245">
        <f>C16/$C$6</f>
        <v>0.4661444734551784</v>
      </c>
      <c r="E16" s="293"/>
      <c r="F16" s="243" t="s">
        <v>5</v>
      </c>
      <c r="G16" s="244">
        <f>VLOOKUP('Area Data'!A1,'Common Measures'!$A$19:$AK$31,26,)</f>
        <v>44</v>
      </c>
      <c r="H16" s="244">
        <f>VLOOKUP('Area Data'!A1,'Common Measures'!$A$19:$AK$31,27,)</f>
        <v>55</v>
      </c>
      <c r="I16" s="292">
        <f>VLOOKUP('Area Data'!A1,'Common Measures'!$A$19:$AK$31,28,)</f>
        <v>0.8</v>
      </c>
      <c r="J16" s="292">
        <f>VLOOKUP('Area Data'!A1,'Common Measures'!$A$19:$AK$31,29,)</f>
        <v>0.66500000000000004</v>
      </c>
      <c r="K16" s="452"/>
      <c r="L16" s="230"/>
      <c r="M16" s="230"/>
      <c r="N16" s="230"/>
      <c r="O16" s="230"/>
    </row>
    <row r="17" spans="1:20" ht="15" customHeight="1" x14ac:dyDescent="0.3">
      <c r="A17" s="451"/>
      <c r="B17" s="247" t="s">
        <v>12</v>
      </c>
      <c r="C17" s="244">
        <f>GETPIVOTDATA("Sum of SkillDevelopment",'Area Pivot Tables'!$A$20,"REGIONID",A1)</f>
        <v>471</v>
      </c>
      <c r="D17" s="245">
        <f>C17/$C$6</f>
        <v>8.1984334203655349E-2</v>
      </c>
      <c r="E17" s="293"/>
      <c r="F17" s="243" t="s">
        <v>6</v>
      </c>
      <c r="G17" s="244">
        <f>VLOOKUP('Area Data'!A1,'Common Measures'!$A$19:$AK$31,30,)</f>
        <v>15</v>
      </c>
      <c r="H17" s="244">
        <f>VLOOKUP('Area Data'!A1,'Common Measures'!$A$19:$AK$31,31,)</f>
        <v>23</v>
      </c>
      <c r="I17" s="292">
        <f>VLOOKUP('Area Data'!A1,'Common Measures'!$A$19:$AK$31,32,)</f>
        <v>0.65217391304347827</v>
      </c>
      <c r="J17" s="292">
        <f>VLOOKUP('Area Data'!A1,'Common Measures'!$A$19:$AK$31,33,)</f>
        <v>0.34599999999999997</v>
      </c>
      <c r="K17" s="452"/>
      <c r="L17" s="230"/>
      <c r="M17" s="230"/>
      <c r="N17" s="230"/>
      <c r="O17" s="230"/>
    </row>
    <row r="18" spans="1:20" ht="15" customHeight="1" x14ac:dyDescent="0.3">
      <c r="A18" s="451"/>
      <c r="B18" s="236" t="s">
        <v>55</v>
      </c>
      <c r="C18" s="234">
        <f>GETPIVOTDATA("Sum of CommunityReferral",'Area Pivot Tables'!$A$20,"REGIONID",A1)</f>
        <v>57</v>
      </c>
      <c r="D18" s="245">
        <f>C18/$C$6</f>
        <v>9.921671018276762E-3</v>
      </c>
      <c r="E18" s="293"/>
      <c r="F18" s="243" t="s">
        <v>7</v>
      </c>
      <c r="G18" s="244">
        <f>VLOOKUP('Area Data'!A1,'Common Measures'!$A$19:$AK$31,34,)</f>
        <v>50</v>
      </c>
      <c r="H18" s="244">
        <f>VLOOKUP('Area Data'!A1,'Common Measures'!$A$19:$AK$31,35,)</f>
        <v>65</v>
      </c>
      <c r="I18" s="292">
        <f>VLOOKUP('Area Data'!A1,'Common Measures'!$A$19:$AK$31,36,)</f>
        <v>0.76923076923076927</v>
      </c>
      <c r="J18" s="292">
        <f>VLOOKUP('Area Data'!A1,'Common Measures'!$A$19:$AK$31,37,)</f>
        <v>0.58799999999999997</v>
      </c>
      <c r="K18" s="452"/>
      <c r="L18" s="230"/>
      <c r="M18" s="248"/>
      <c r="N18" s="249"/>
      <c r="O18" s="230"/>
    </row>
    <row r="19" spans="1:20" ht="15" customHeight="1" x14ac:dyDescent="0.3">
      <c r="A19" s="451"/>
      <c r="B19" s="250" t="s">
        <v>18</v>
      </c>
      <c r="C19" s="250" t="s">
        <v>396</v>
      </c>
      <c r="D19" s="250" t="s">
        <v>106</v>
      </c>
      <c r="E19" s="293"/>
      <c r="F19" s="251"/>
      <c r="G19" s="251"/>
      <c r="H19" s="252"/>
      <c r="I19" s="252"/>
      <c r="J19" s="252"/>
      <c r="K19" s="452"/>
      <c r="L19" s="230"/>
      <c r="M19" s="248"/>
      <c r="N19" s="248"/>
      <c r="O19" s="230"/>
    </row>
    <row r="20" spans="1:20" ht="15" customHeight="1" x14ac:dyDescent="0.3">
      <c r="A20" s="453"/>
      <c r="B20" s="236" t="s">
        <v>18</v>
      </c>
      <c r="C20" s="234">
        <f>GETPIVOTDATA("Sum of currentprogram",'Area Pivot Tables'!$A$37,"REGIONID",A1)</f>
        <v>676</v>
      </c>
      <c r="D20" s="234">
        <f>GETPIVOTDATA("Sum of program1yearago",'Area Pivot Tables'!$A$37,"REGIONID",A1)</f>
        <v>999</v>
      </c>
      <c r="E20" s="293"/>
      <c r="F20" s="237" t="s">
        <v>40</v>
      </c>
      <c r="G20" s="253" t="str">
        <f>VLOOKUP($F$1,Lists!$A$16:$H$44,5,)</f>
        <v>PY09 Q3</v>
      </c>
      <c r="H20" s="253" t="str">
        <f>VLOOKUP($F$1,Lists!$A$16:$H$44,6,)</f>
        <v>PY09 Q4</v>
      </c>
      <c r="I20" s="253" t="str">
        <f>VLOOKUP($F$1,Lists!$A$16:$H$44,7,)</f>
        <v>PY10 Q1</v>
      </c>
      <c r="J20" s="253" t="str">
        <f>VLOOKUP($F$1,Lists!$A$16:$H$44,8,)</f>
        <v>PY10 Q2</v>
      </c>
      <c r="K20" s="452"/>
      <c r="L20" s="226"/>
      <c r="M20" s="226"/>
      <c r="N20" s="226"/>
      <c r="O20" s="226"/>
    </row>
    <row r="21" spans="1:20" s="2" customFormat="1" ht="15" customHeight="1" x14ac:dyDescent="0.3">
      <c r="A21" s="451"/>
      <c r="B21" s="236" t="s">
        <v>15</v>
      </c>
      <c r="C21" s="234">
        <f>GETPIVOTDATA("Sum of wiacurrent",'Area Pivot Tables'!$A$37,"REGIONID",A1)</f>
        <v>431</v>
      </c>
      <c r="D21" s="234">
        <f>GETPIVOTDATA("Sum of wia1yearago",'Area Pivot Tables'!$A$37,"REGIONID",A1)</f>
        <v>627</v>
      </c>
      <c r="E21" s="293"/>
      <c r="F21" s="243" t="s">
        <v>475</v>
      </c>
      <c r="G21" s="297">
        <f>GETPIVOTDATA("Area Employed",DBPivot!$A$3,"WDA",$A$1,"PYQ",G$20)</f>
        <v>152957</v>
      </c>
      <c r="H21" s="297">
        <f>GETPIVOTDATA("Area Employed",DBPivot!$A$3,"WDA",$A$1,"PYQ",H$20)</f>
        <v>154503</v>
      </c>
      <c r="I21" s="297">
        <f>GETPIVOTDATA("Area Employed",DBPivot!$A$3,"WDA",$A$1,"PYQ",I$20)</f>
        <v>153883</v>
      </c>
      <c r="J21" s="297">
        <f>GETPIVOTDATA("Area Employed",DBPivot!$A$3,"WDA",$A$1,"PYQ",J$20)</f>
        <v>154707</v>
      </c>
      <c r="K21" s="452"/>
      <c r="L21" s="227"/>
      <c r="M21" s="227"/>
      <c r="N21" s="227"/>
      <c r="O21" s="227"/>
    </row>
    <row r="22" spans="1:20" ht="15" customHeight="1" x14ac:dyDescent="0.3">
      <c r="A22" s="451"/>
      <c r="B22" s="236" t="s">
        <v>19</v>
      </c>
      <c r="C22" s="234">
        <f>GETPIVOTDATA("Sum of wianewcurrent",'Area Pivot Tables'!$A$37,"REGIONID",A1)</f>
        <v>103</v>
      </c>
      <c r="D22" s="234">
        <f>GETPIVOTDATA("Sum of wianew1yearago",'Area Pivot Tables'!$A$37,"REGIONID",A1)</f>
        <v>131</v>
      </c>
      <c r="E22" s="293"/>
      <c r="F22" s="243" t="s">
        <v>202</v>
      </c>
      <c r="G22" s="297">
        <f>GETPIVOTDATA("Area Unemployed",DBPivot!$A$3,"WDA",$A$1,"PYQ",G$20)</f>
        <v>16277</v>
      </c>
      <c r="H22" s="297">
        <f>GETPIVOTDATA("Area Unemployed",DBPivot!$A$3,"WDA",$A$1,"PYQ",H$20)</f>
        <v>14040</v>
      </c>
      <c r="I22" s="297">
        <f>GETPIVOTDATA("Area Unemployed",DBPivot!$A$3,"WDA",$A$1,"PYQ",I$20)</f>
        <v>13427</v>
      </c>
      <c r="J22" s="297">
        <f>GETPIVOTDATA("Area Unemployed",DBPivot!$A$3,"WDA",$A$1,"PYQ",J$20)</f>
        <v>13187</v>
      </c>
      <c r="K22" s="452"/>
      <c r="L22" s="226"/>
      <c r="M22" s="255"/>
      <c r="N22" s="226"/>
      <c r="O22" s="226"/>
    </row>
    <row r="23" spans="1:20" ht="15" customHeight="1" x14ac:dyDescent="0.3">
      <c r="A23" s="451"/>
      <c r="B23" s="256" t="s">
        <v>20</v>
      </c>
      <c r="C23" s="234">
        <f>GETPIVOTDATA("Sum of wiaexitcurrent",'Area Pivot Tables'!$A$37,"REGIONID",A1)</f>
        <v>96</v>
      </c>
      <c r="D23" s="234">
        <f>GETPIVOTDATA("Sum of wiaexit1yearago",'Area Pivot Tables'!$A$37,"REGIONID",A1)</f>
        <v>140</v>
      </c>
      <c r="E23" s="293"/>
      <c r="F23" s="243" t="s">
        <v>135</v>
      </c>
      <c r="G23" s="297">
        <f>GETPIVOTDATA("Area Labor Force",DBPivot!$A$3,"WDA",$A$1,"PYQ",G$20)</f>
        <v>169233</v>
      </c>
      <c r="H23" s="297">
        <f>GETPIVOTDATA("Area Labor Force",DBPivot!$A$3,"WDA",$A$1,"PYQ",H$20)</f>
        <v>168543</v>
      </c>
      <c r="I23" s="297">
        <f>GETPIVOTDATA("Area Labor Force",DBPivot!$A$3,"WDA",$A$1,"PYQ",I$20)</f>
        <v>167310</v>
      </c>
      <c r="J23" s="297">
        <f>GETPIVOTDATA("Area Labor Force",DBPivot!$A$3,"WDA",$A$1,"PYQ",J$20)</f>
        <v>167893</v>
      </c>
      <c r="K23" s="452"/>
      <c r="L23" s="226"/>
      <c r="M23" s="255"/>
      <c r="N23" s="255"/>
      <c r="O23" s="255"/>
      <c r="S23" s="15"/>
      <c r="T23" s="17"/>
    </row>
    <row r="24" spans="1:20" ht="15" customHeight="1" x14ac:dyDescent="0.3">
      <c r="A24" s="453"/>
      <c r="B24" s="250" t="s">
        <v>99</v>
      </c>
      <c r="C24" s="250" t="s">
        <v>396</v>
      </c>
      <c r="D24" s="250" t="s">
        <v>106</v>
      </c>
      <c r="E24" s="293"/>
      <c r="F24" s="243" t="s">
        <v>41</v>
      </c>
      <c r="G24" s="298">
        <f>G22/G23</f>
        <v>9.6181004886753768E-2</v>
      </c>
      <c r="H24" s="298">
        <f>H22/H23</f>
        <v>8.3302184012388536E-2</v>
      </c>
      <c r="I24" s="298">
        <f>I22/I23</f>
        <v>8.025222640607256E-2</v>
      </c>
      <c r="J24" s="298">
        <f>J22/J23</f>
        <v>7.8544072712977905E-2</v>
      </c>
      <c r="K24" s="452"/>
      <c r="L24" s="517" t="s">
        <v>384</v>
      </c>
      <c r="M24" s="517"/>
      <c r="N24" s="517"/>
      <c r="O24" s="517"/>
    </row>
    <row r="25" spans="1:20" ht="15" customHeight="1" x14ac:dyDescent="0.3">
      <c r="A25" s="451"/>
      <c r="B25" s="257" t="s">
        <v>9</v>
      </c>
      <c r="C25" s="234">
        <f>GETPIVOTDATA("Sum of 3COUNT OF JOB ORDERS AND JOB OPENINGS_SumOfJOB OPENINGS",'Area Pivot Tables'!$A$54,"REGIONID",A1)</f>
        <v>764</v>
      </c>
      <c r="D25" s="234">
        <f>GETPIVOTDATA("Sum of 3CountOfJobORders1YearAgo_SumOfJOB OPENINGS",'Area Pivot Tables'!$A$54,"REGIONID",A1)</f>
        <v>797</v>
      </c>
      <c r="E25" s="293"/>
      <c r="F25" s="237" t="s">
        <v>42</v>
      </c>
      <c r="G25" s="237" t="s">
        <v>59</v>
      </c>
      <c r="H25" s="237" t="s">
        <v>60</v>
      </c>
      <c r="I25" s="237" t="s">
        <v>61</v>
      </c>
      <c r="J25" s="237"/>
      <c r="K25" s="452"/>
      <c r="L25" s="440" t="s">
        <v>42</v>
      </c>
      <c r="M25" s="237" t="s">
        <v>25</v>
      </c>
      <c r="N25" s="237" t="s">
        <v>17</v>
      </c>
      <c r="O25" s="237" t="s">
        <v>16</v>
      </c>
      <c r="S25" s="15"/>
      <c r="T25" s="17"/>
    </row>
    <row r="26" spans="1:20" s="2" customFormat="1" ht="15" customHeight="1" x14ac:dyDescent="0.3">
      <c r="A26" s="451"/>
      <c r="B26" s="257" t="s">
        <v>22</v>
      </c>
      <c r="C26" s="234">
        <f>GETPIVOTDATA("Sum of 3CountOfEmployersServed_CountOfEMPLOYER_ID",'Area Pivot Tables'!$A$54,"REGIONID",A1)</f>
        <v>570</v>
      </c>
      <c r="D26" s="234">
        <f>GETPIVOTDATA("Sum of 3CountOfEmployersServed1YearAgo_CountOfEMPLOYER_ID",'Area Pivot Tables'!$A$54,"REGIONID",A1)</f>
        <v>720</v>
      </c>
      <c r="E26" s="293"/>
      <c r="F26" s="236" t="s">
        <v>10</v>
      </c>
      <c r="G26" s="300">
        <f>M26</f>
        <v>341951</v>
      </c>
      <c r="H26" s="234">
        <f>N26</f>
        <v>7808</v>
      </c>
      <c r="I26" s="301">
        <f>O26</f>
        <v>1046</v>
      </c>
      <c r="J26" s="302"/>
      <c r="K26" s="452"/>
      <c r="L26" s="441" t="s">
        <v>10</v>
      </c>
      <c r="M26" s="258">
        <f>GETPIVOTDATA("Sum of TOT_POP",PopAgeSexRacePivot!$A$3,"AGEGRP",0,"Area#",A1)</f>
        <v>341951</v>
      </c>
      <c r="N26" s="259">
        <f>GETPIVOTDATA("Sum of EOSeekersServedCount_CountOfSEEKERID",'Area Pivot Tables'!$A$148,"REGIONID",A1)</f>
        <v>7808</v>
      </c>
      <c r="O26" s="260">
        <f>GETPIVOTDATA("Sum of EOWIASEEKERCOUNT_CountOfSEEKER_ID",'Area Pivot Tables'!$A$166,"REGIONID",A1)</f>
        <v>1046</v>
      </c>
      <c r="S26" s="16"/>
      <c r="T26" s="16"/>
    </row>
    <row r="27" spans="1:20" ht="15" customHeight="1" x14ac:dyDescent="0.3">
      <c r="A27" s="451"/>
      <c r="B27" s="250" t="s">
        <v>100</v>
      </c>
      <c r="C27" s="250" t="s">
        <v>396</v>
      </c>
      <c r="D27" s="250" t="s">
        <v>106</v>
      </c>
      <c r="E27" s="293"/>
      <c r="F27" s="243" t="s">
        <v>13</v>
      </c>
      <c r="G27" s="303">
        <f>M27/$G$26</f>
        <v>0.50137007933885269</v>
      </c>
      <c r="H27" s="302">
        <f>N27/$N$26</f>
        <v>0.58785860655737709</v>
      </c>
      <c r="I27" s="302">
        <f>O27/$O$26</f>
        <v>0.47227533460803062</v>
      </c>
      <c r="J27" s="302"/>
      <c r="K27" s="452"/>
      <c r="L27" s="441" t="s">
        <v>13</v>
      </c>
      <c r="M27" s="258">
        <f>GETPIVOTDATA("Sum of TOT_MALE",PopAgeSexRacePivot!$A$3,"AGEGRP",0,"Area#",A1)</f>
        <v>171444</v>
      </c>
      <c r="N27" s="259">
        <f>N26-N28</f>
        <v>4590</v>
      </c>
      <c r="O27" s="259">
        <f>O26-O28</f>
        <v>494</v>
      </c>
      <c r="S27" s="15"/>
      <c r="T27" s="17"/>
    </row>
    <row r="28" spans="1:20" ht="15" customHeight="1" x14ac:dyDescent="0.3">
      <c r="A28" s="451"/>
      <c r="B28" s="236" t="s">
        <v>437</v>
      </c>
      <c r="C28" s="235">
        <f>C32/C25</f>
        <v>0.58900523560209428</v>
      </c>
      <c r="D28" s="235">
        <f>D32/D25</f>
        <v>0.42910915934755334</v>
      </c>
      <c r="E28" s="293"/>
      <c r="F28" s="243" t="s">
        <v>14</v>
      </c>
      <c r="G28" s="303">
        <f>M28/$G$26</f>
        <v>0.49862992066114736</v>
      </c>
      <c r="H28" s="302">
        <f>N28/$N$26</f>
        <v>0.41214139344262296</v>
      </c>
      <c r="I28" s="302">
        <f>O28/$O$26</f>
        <v>0.52772466539196938</v>
      </c>
      <c r="J28" s="302"/>
      <c r="K28" s="452"/>
      <c r="L28" s="442" t="s">
        <v>14</v>
      </c>
      <c r="M28" s="261">
        <f>GETPIVOTDATA("Sum of TOT_FEMALE",PopAgeSexRacePivot!$A$3,"AGEGRP",0,"Area#",A1)</f>
        <v>170507</v>
      </c>
      <c r="N28" s="259">
        <f>GETPIVOTDATA("Sum of EOGenderCount_CountOfSEEKERID",'Area Pivot Tables'!$A$148,"REGIONID",A1)</f>
        <v>3218</v>
      </c>
      <c r="O28" s="259">
        <f>GETPIVOTDATA("Sum of EOWIAGENDERCOUNT_CountOfSEEKER_ID",'Area Pivot Tables'!$A$166,"REGIONID",A1)</f>
        <v>552</v>
      </c>
      <c r="S28" s="15"/>
    </row>
    <row r="29" spans="1:20" ht="15" customHeight="1" x14ac:dyDescent="0.3">
      <c r="A29" s="451"/>
      <c r="B29" s="257" t="s">
        <v>260</v>
      </c>
      <c r="C29" s="262">
        <f>C33/C25</f>
        <v>0.59816753926701571</v>
      </c>
      <c r="D29" s="262">
        <f>D33/D25</f>
        <v>0.2697616060225847</v>
      </c>
      <c r="E29" s="293"/>
      <c r="F29" s="243" t="s">
        <v>500</v>
      </c>
      <c r="G29" s="303">
        <f>M29/$G$26</f>
        <v>0.12900678752218886</v>
      </c>
      <c r="H29" s="302">
        <f>N29/$N$26</f>
        <v>0.18276127049180327</v>
      </c>
      <c r="I29" s="302">
        <f>O29/$O$26</f>
        <v>0.20076481835564053</v>
      </c>
      <c r="J29" s="302"/>
      <c r="K29" s="452"/>
      <c r="L29" s="443" t="s">
        <v>500</v>
      </c>
      <c r="M29" s="254">
        <f>GETPIVOTDATA("Sum of Protected Racial Class",PopAgeSexRacePivot!$A$3,"AGEGRP",0,"Area#",A1)</f>
        <v>44114</v>
      </c>
      <c r="N29" s="259">
        <f>GETPIVOTDATA("Sum of EORaceCount_CountOfSEEKERID",'Area Pivot Tables'!$A$148,"REGIONID",A1)</f>
        <v>1427</v>
      </c>
      <c r="O29" s="259">
        <f>GETPIVOTDATA("Sum of EOWIARACECOUNT_CountOfSEEKER_ID",'Area Pivot Tables'!$A$166,"REGIONID",A1)</f>
        <v>210</v>
      </c>
      <c r="S29" s="15"/>
      <c r="T29" s="15"/>
    </row>
    <row r="30" spans="1:20" ht="15" customHeight="1" x14ac:dyDescent="0.3">
      <c r="A30" s="451"/>
      <c r="B30" s="257" t="s">
        <v>478</v>
      </c>
      <c r="C30" s="263">
        <f>VLOOKUP(A1,'Area Pivot Tables'!A202:B215,2,)</f>
        <v>11.907478706087232</v>
      </c>
      <c r="D30" s="263">
        <f>VLOOKUP(A1,'Area Pivot Tables'!D202:E215,2,)</f>
        <v>12.766785187439131</v>
      </c>
      <c r="E30" s="293"/>
      <c r="F30" s="243" t="s">
        <v>21</v>
      </c>
      <c r="G30" s="303">
        <f>M30/$G$26</f>
        <v>0.31748700837254462</v>
      </c>
      <c r="H30" s="302">
        <f>N30/$N$26</f>
        <v>0.22374487704918034</v>
      </c>
      <c r="I30" s="302">
        <f>O30/$O$26</f>
        <v>0.17304015296367112</v>
      </c>
      <c r="J30" s="304"/>
      <c r="K30" s="452"/>
      <c r="L30" s="442" t="s">
        <v>21</v>
      </c>
      <c r="M30" s="261">
        <f>SUM(GETPIVOTDATA("Sum of TOT_POP",PopAgeSexRacePivot!$A$3,"AGEGRP",12,"Area#",A1),GETPIVOTDATA("Sum of TOT_POP",PopAgeSexRacePivot!$A$3,"AGEGRP",13,"Area#",A1),GETPIVOTDATA("Sum of TOT_POP",PopAgeSexRacePivot!$A$3,"AGEGRP",14,"Area#",A1),GETPIVOTDATA("Sum of TOT_POP",PopAgeSexRacePivot!$A$3,"AGEGRP",15,"Area#",A1),GETPIVOTDATA("Sum of TOT_POP",PopAgeSexRacePivot!$A$3,"AGEGRP",16,"Area#",A1),GETPIVOTDATA("Sum of TOT_POP",PopAgeSexRacePivot!$A$3,"AGEGRP",17,"Area#",A1),GETPIVOTDATA("Sum of TOT_POP",PopAgeSexRacePivot!$A$3,"AGEGRP",18,"Area#",A1))</f>
        <v>108565</v>
      </c>
      <c r="N30" s="231">
        <f>GETPIVOTDATA("Sum of EOAgeCount_CountOfSEEKERID",'Area Pivot Tables'!$A$148,"REGIONID",A1)</f>
        <v>1747</v>
      </c>
      <c r="O30" s="231">
        <f>GETPIVOTDATA("Sum of EOWIAAGECOUNT_CountOfSEEKER_ID",'Area Pivot Tables'!$A$166,"REGIONID",A1)</f>
        <v>181</v>
      </c>
      <c r="R30" s="2"/>
      <c r="S30" s="15"/>
      <c r="T30" s="15"/>
    </row>
    <row r="31" spans="1:20" ht="15" customHeight="1" x14ac:dyDescent="0.3">
      <c r="A31" s="451"/>
      <c r="B31" s="257" t="s">
        <v>368</v>
      </c>
      <c r="C31" s="263">
        <f>GETPIVOTDATA("Sum of Currentsalary",'Area Pivot Tables'!$A$82,"REGIONID",A1)</f>
        <v>10.92</v>
      </c>
      <c r="D31" s="263">
        <f>GETPIVOTDATA("Sum of Lastyearsalary",'Area Pivot Tables'!$A$82,"REGIONID",A1)</f>
        <v>12.3</v>
      </c>
      <c r="E31" s="293"/>
      <c r="F31" s="243" t="s">
        <v>26</v>
      </c>
      <c r="G31" s="303">
        <f>M31/$G$26</f>
        <v>0</v>
      </c>
      <c r="H31" s="302">
        <f>N31/$N$26</f>
        <v>5.3534836065573771E-2</v>
      </c>
      <c r="I31" s="302">
        <f>O31/$O$26</f>
        <v>5.736137667304015E-2</v>
      </c>
      <c r="J31" s="304"/>
      <c r="K31" s="452"/>
      <c r="L31" s="441" t="s">
        <v>26</v>
      </c>
      <c r="M31" s="258"/>
      <c r="N31" s="258">
        <f>GETPIVOTDATA("Sum of EODisabilityCount_CountOfSEEKERID",'Area Pivot Tables'!$A$148,"REGIONID",A1)</f>
        <v>418</v>
      </c>
      <c r="O31" s="258">
        <f>GETPIVOTDATA("Sum of EOWIADSISABILITYCOUNT_CountOfSEEKER_ID",'Area Pivot Tables'!$A$166,"REGIONID",A1)</f>
        <v>60</v>
      </c>
      <c r="S31" s="15"/>
      <c r="T31" s="15"/>
    </row>
    <row r="32" spans="1:20" ht="15" customHeight="1" x14ac:dyDescent="0.3">
      <c r="A32" s="451"/>
      <c r="B32" s="236" t="s">
        <v>38</v>
      </c>
      <c r="C32" s="234">
        <f>GETPIVOTDATA("Sum of "&amp;A1,'Area Pivot Tables'!$A$72)</f>
        <v>450</v>
      </c>
      <c r="D32" s="234">
        <f>GETPIVOTDATA("Sum of "&amp;A1,'Area Pivot Tables'!$A$76)</f>
        <v>342</v>
      </c>
      <c r="E32" s="293"/>
      <c r="F32" s="305" t="s">
        <v>434</v>
      </c>
      <c r="G32" s="310">
        <f>M32/M34</f>
        <v>0.92042706280284714</v>
      </c>
      <c r="H32" s="379">
        <f>N32/N34</f>
        <v>0.93003290885677492</v>
      </c>
      <c r="I32" s="379">
        <f>O32/O34</f>
        <v>0.96580188679245282</v>
      </c>
      <c r="J32" s="311"/>
      <c r="K32" s="452"/>
      <c r="L32" s="441" t="s">
        <v>435</v>
      </c>
      <c r="M32" s="258">
        <f>VLOOKUP(H1,'Educational Attainment'!A4:K16,10,)</f>
        <v>213887</v>
      </c>
      <c r="N32" s="264">
        <f>GETPIVOTDATA("Sum of HSCOUNT_CountOfSEEKERID",'Area Pivot Tables'!$A$183,"REGIONID",A1)</f>
        <v>6500</v>
      </c>
      <c r="O32" s="264">
        <f>GETPIVOTDATA("Sum of HSWIACOUNT_CountOfSEEKER_ID",'Area Pivot Tables'!$A$166,"REGIONID",A1)</f>
        <v>819</v>
      </c>
    </row>
    <row r="33" spans="1:15" ht="28.5" customHeight="1" x14ac:dyDescent="0.3">
      <c r="A33" s="451"/>
      <c r="B33" s="257" t="s">
        <v>57</v>
      </c>
      <c r="C33" s="234">
        <f>GETPIVOTDATA("Sum of current",'Area Pivot Tables'!$A$82,"REGIONID",A1)</f>
        <v>457</v>
      </c>
      <c r="D33" s="234">
        <f>GETPIVOTDATA("Sum of Lastyear",'Area Pivot Tables'!$A$82,"REGIONID",A1)</f>
        <v>215</v>
      </c>
      <c r="E33" s="293"/>
      <c r="F33" s="305" t="s">
        <v>325</v>
      </c>
      <c r="G33" s="310">
        <f>M33/M34</f>
        <v>0.27798672851991152</v>
      </c>
      <c r="H33" s="304">
        <f>N33/N34</f>
        <v>0.15080841322077551</v>
      </c>
      <c r="I33" s="304">
        <f>O33/O34</f>
        <v>0.14504716981132076</v>
      </c>
      <c r="J33" s="311"/>
      <c r="K33" s="452"/>
      <c r="L33" s="441" t="s">
        <v>24</v>
      </c>
      <c r="M33" s="258">
        <f>VLOOKUP(H1,'Educational Attainment'!A5:K16,11,)</f>
        <v>64598</v>
      </c>
      <c r="N33" s="258">
        <f>GETPIVOTDATA("Sum of COLLEGECOUNT_CountOfSEEKERID",'Area Pivot Tables'!$A$183,"REGIONID",A1)</f>
        <v>1054</v>
      </c>
      <c r="O33" s="258">
        <f>GETPIVOTDATA("Sum of COLLEGEWIACOUNT_CountOfSEEKER_ID",'Area Pivot Tables'!$A$166,"REGIONID",A1)</f>
        <v>123</v>
      </c>
    </row>
    <row r="34" spans="1:15" ht="22.5" customHeight="1" thickBot="1" x14ac:dyDescent="0.35">
      <c r="A34" s="451"/>
      <c r="B34" s="257"/>
      <c r="C34" s="308"/>
      <c r="D34" s="391"/>
      <c r="E34" s="293"/>
      <c r="F34" s="518" t="s">
        <v>394</v>
      </c>
      <c r="G34" s="518"/>
      <c r="H34" s="518"/>
      <c r="I34" s="518"/>
      <c r="J34" s="518"/>
      <c r="K34" s="452"/>
      <c r="L34" s="441" t="s">
        <v>324</v>
      </c>
      <c r="M34" s="374">
        <f>VLOOKUP(H1,'Educational Attainment'!A5:B16,2,)</f>
        <v>232378</v>
      </c>
      <c r="N34" s="374">
        <f>GETPIVOTDATA("Sum of OVER25COUNT_CountOfSEEKERID",'Area Pivot Tables'!$A$183,"REGIONID",A1)</f>
        <v>6989</v>
      </c>
      <c r="O34" s="374">
        <f>GETPIVOTDATA("Sum of EDUCATIONWIACOUNT_CountOfSEEKER_ID",'Area Pivot Tables'!$A$166,"REGIONID",A1)</f>
        <v>848</v>
      </c>
    </row>
    <row r="35" spans="1:15" ht="26.25" customHeight="1" x14ac:dyDescent="0.3">
      <c r="A35" s="451"/>
      <c r="B35" s="519" t="s">
        <v>101</v>
      </c>
      <c r="C35" s="519"/>
      <c r="D35" s="519"/>
      <c r="E35" s="293"/>
      <c r="F35" s="389" t="s">
        <v>47</v>
      </c>
      <c r="G35" s="377">
        <f ca="1">VLOOKUP(A1,'County Wages'!J6:N18,5,)</f>
        <v>20369.424529067514</v>
      </c>
      <c r="H35" s="380"/>
      <c r="I35" s="381"/>
      <c r="J35" s="382"/>
      <c r="K35" s="452"/>
      <c r="L35" s="265"/>
      <c r="M35" s="266"/>
      <c r="N35" s="267"/>
      <c r="O35" s="267"/>
    </row>
    <row r="36" spans="1:15" ht="27.75" customHeight="1" x14ac:dyDescent="0.3">
      <c r="A36" s="451"/>
      <c r="B36" s="243" t="s">
        <v>403</v>
      </c>
      <c r="C36" s="244">
        <f>GETPIVOTDATA("Sum of CountOfSEEKERID",'Area Pivot Tables'!$A$102,"REGIONID",$A$1)</f>
        <v>3828</v>
      </c>
      <c r="D36" s="245"/>
      <c r="E36" s="293"/>
      <c r="F36" s="306" t="s">
        <v>512</v>
      </c>
      <c r="G36" s="416">
        <f ca="1">G35/1040</f>
        <v>19.585985124103377</v>
      </c>
      <c r="H36" s="383"/>
      <c r="I36" s="378"/>
      <c r="J36" s="384"/>
      <c r="K36" s="452"/>
      <c r="L36" s="226"/>
      <c r="M36" s="226"/>
      <c r="N36" s="226"/>
      <c r="O36" s="226"/>
    </row>
    <row r="37" spans="1:15" ht="15" customHeight="1" thickBot="1" x14ac:dyDescent="0.35">
      <c r="A37" s="451"/>
      <c r="B37" s="268" t="s">
        <v>45</v>
      </c>
      <c r="C37" s="269">
        <f>C40/C6</f>
        <v>1.9136640557006093</v>
      </c>
      <c r="D37" s="245"/>
      <c r="E37" s="293"/>
      <c r="F37" s="305" t="s">
        <v>473</v>
      </c>
      <c r="G37" s="309">
        <f>VLOOKUP(A1,'Educational Attainment'!A31:J43,10,)</f>
        <v>0.31771174434104987</v>
      </c>
      <c r="H37" s="385"/>
      <c r="I37" s="386"/>
      <c r="J37" s="387"/>
      <c r="K37" s="452"/>
      <c r="L37" s="226"/>
      <c r="M37" s="226"/>
      <c r="N37" s="226"/>
      <c r="O37" s="226"/>
    </row>
    <row r="38" spans="1:15" ht="35.25" customHeight="1" x14ac:dyDescent="0.3">
      <c r="A38" s="451"/>
      <c r="B38" s="268" t="s">
        <v>46</v>
      </c>
      <c r="C38" s="270">
        <f>C42/C41</f>
        <v>0.81501330839507957</v>
      </c>
      <c r="D38" s="245"/>
      <c r="E38" s="293"/>
      <c r="F38" s="312" t="s">
        <v>369</v>
      </c>
      <c r="G38" s="313" t="str">
        <f>VLOOKUP($A$1,'Area Pivot Tables'!$A$133:$C$144,2,)</f>
        <v>Agriculture, +6.5% (756)</v>
      </c>
      <c r="H38" s="314"/>
      <c r="I38" s="315"/>
      <c r="J38" s="316"/>
      <c r="K38" s="452"/>
      <c r="L38" s="226"/>
      <c r="M38" s="226"/>
      <c r="N38" s="226"/>
      <c r="O38" s="226"/>
    </row>
    <row r="39" spans="1:15" ht="44.25" customHeight="1" x14ac:dyDescent="0.3">
      <c r="A39" s="451"/>
      <c r="B39" s="271" t="s">
        <v>36</v>
      </c>
      <c r="C39" s="272">
        <f>GETPIVOTDATA("Sum of AvgOfDuration",'Area Pivot Tables'!$A$102,"REGIONID",A1)</f>
        <v>10.447811447811448</v>
      </c>
      <c r="D39" s="273"/>
      <c r="E39" s="293"/>
      <c r="F39" s="312" t="s">
        <v>370</v>
      </c>
      <c r="G39" s="313" t="str">
        <f>VLOOKUP($A$1,'Area Pivot Tables'!$A$133:$C$144,3,)</f>
        <v>Construction, -13.5% (4636)</v>
      </c>
      <c r="H39" s="314"/>
      <c r="I39" s="315"/>
      <c r="J39" s="316"/>
      <c r="K39" s="452"/>
      <c r="L39" s="226"/>
      <c r="M39" s="226"/>
      <c r="N39" s="226"/>
      <c r="O39" s="226"/>
    </row>
    <row r="40" spans="1:15" ht="15" customHeight="1" x14ac:dyDescent="0.3">
      <c r="A40" s="451"/>
      <c r="B40" s="268" t="s">
        <v>44</v>
      </c>
      <c r="C40" s="278">
        <f>GETPIVOTDATA("Sum of CountOfSERVICEDATE",'Area Pivot Tables'!$A$102,"REGIONID",A1)</f>
        <v>10994</v>
      </c>
      <c r="D40" s="245"/>
      <c r="E40" s="293"/>
      <c r="F40" s="317"/>
      <c r="G40" s="318"/>
      <c r="H40" s="319"/>
      <c r="I40" s="320"/>
      <c r="J40" s="316"/>
      <c r="K40" s="452"/>
      <c r="L40" s="226"/>
      <c r="M40" s="226"/>
      <c r="N40" s="226"/>
      <c r="O40" s="226"/>
    </row>
    <row r="41" spans="1:15" ht="15" customHeight="1" x14ac:dyDescent="0.3">
      <c r="A41" s="451"/>
      <c r="B41" s="268" t="s">
        <v>62</v>
      </c>
      <c r="C41" s="394">
        <f>GETPIVOTDATA("Sum of OldWages",'Area Pivot Tables'!$A$102,"REGIONID",A1)</f>
        <v>2502.1799999999998</v>
      </c>
      <c r="D41" s="245"/>
      <c r="E41" s="293"/>
      <c r="F41" s="276"/>
      <c r="G41" s="276"/>
      <c r="H41" s="282"/>
      <c r="I41" s="283"/>
      <c r="J41" s="284"/>
      <c r="K41" s="452"/>
      <c r="L41" s="230"/>
      <c r="M41" s="230"/>
      <c r="N41" s="226"/>
      <c r="O41" s="226"/>
    </row>
    <row r="42" spans="1:15" ht="15" customHeight="1" x14ac:dyDescent="0.3">
      <c r="A42" s="451"/>
      <c r="B42" s="268" t="s">
        <v>63</v>
      </c>
      <c r="C42" s="394">
        <f>GETPIVOTDATA("Sum of NewWages",'Area Pivot Tables'!$A$102,"REGIONID",A1)</f>
        <v>2039.31</v>
      </c>
      <c r="D42" s="245"/>
      <c r="E42" s="293"/>
      <c r="F42" s="321"/>
      <c r="G42" s="321"/>
      <c r="H42" s="322"/>
      <c r="I42" s="323"/>
      <c r="J42" s="324"/>
      <c r="K42" s="452"/>
      <c r="L42" s="230"/>
      <c r="M42" s="230"/>
      <c r="N42" s="226"/>
      <c r="O42" s="226"/>
    </row>
    <row r="43" spans="1:15" ht="19.5" thickBot="1" x14ac:dyDescent="0.35">
      <c r="A43" s="455"/>
      <c r="B43" s="456"/>
      <c r="C43" s="456"/>
      <c r="D43" s="456"/>
      <c r="E43" s="456"/>
      <c r="F43" s="456"/>
      <c r="G43" s="456"/>
      <c r="H43" s="456"/>
      <c r="I43" s="456"/>
      <c r="J43" s="456"/>
      <c r="K43" s="457"/>
      <c r="L43" s="230"/>
      <c r="M43" s="230"/>
      <c r="N43" s="226"/>
      <c r="O43" s="226"/>
    </row>
    <row r="44" spans="1:15" x14ac:dyDescent="0.3">
      <c r="A44" s="3"/>
      <c r="B44" s="84"/>
      <c r="C44" s="86"/>
      <c r="D44" s="110"/>
      <c r="E44" s="84"/>
      <c r="K44" s="3"/>
      <c r="L44" s="3"/>
      <c r="M44" s="3"/>
    </row>
    <row r="45" spans="1:15" x14ac:dyDescent="0.3">
      <c r="A45" s="3"/>
      <c r="B45" s="84"/>
      <c r="C45" s="83"/>
      <c r="D45" s="110"/>
      <c r="E45" s="84"/>
      <c r="F45" s="87"/>
      <c r="G45" s="87"/>
      <c r="H45" s="119"/>
      <c r="I45" s="64"/>
      <c r="J45" s="64"/>
      <c r="K45" s="3"/>
      <c r="L45" s="3"/>
      <c r="M45" s="3"/>
    </row>
    <row r="46" spans="1:15" x14ac:dyDescent="0.3">
      <c r="A46" s="3"/>
      <c r="B46" s="84"/>
      <c r="C46" s="83"/>
      <c r="D46" s="110"/>
      <c r="E46" s="84"/>
      <c r="F46" s="222"/>
      <c r="G46" s="100"/>
      <c r="H46" s="119"/>
      <c r="I46" s="64"/>
      <c r="J46" s="64"/>
      <c r="K46" s="3"/>
      <c r="L46" s="3"/>
      <c r="M46" s="3"/>
    </row>
    <row r="47" spans="1:15" x14ac:dyDescent="0.3">
      <c r="A47" s="3"/>
      <c r="B47" s="84"/>
      <c r="C47" s="83"/>
      <c r="D47" s="110"/>
      <c r="E47" s="84"/>
      <c r="F47" s="100"/>
      <c r="G47" s="87"/>
      <c r="H47" s="119"/>
      <c r="I47" s="64"/>
      <c r="J47" s="64"/>
      <c r="K47" s="3"/>
      <c r="L47" s="3"/>
      <c r="M47" s="3"/>
    </row>
    <row r="48" spans="1:15" x14ac:dyDescent="0.3">
      <c r="A48" s="3"/>
      <c r="B48" s="84"/>
      <c r="C48" s="83"/>
      <c r="D48" s="110"/>
      <c r="E48" s="84"/>
      <c r="F48" s="87"/>
      <c r="G48" s="100"/>
      <c r="H48" s="119"/>
      <c r="I48" s="64"/>
      <c r="J48" s="64"/>
      <c r="K48" s="3"/>
      <c r="L48" s="3"/>
      <c r="M48" s="3"/>
    </row>
    <row r="49" spans="1:13" x14ac:dyDescent="0.3">
      <c r="A49" s="3"/>
      <c r="B49" s="84"/>
      <c r="C49" s="83"/>
      <c r="D49" s="110"/>
      <c r="E49" s="84"/>
      <c r="F49" s="100"/>
      <c r="G49" s="101"/>
      <c r="H49" s="119"/>
      <c r="I49" s="113"/>
      <c r="J49" s="64"/>
      <c r="K49" s="40"/>
      <c r="L49" s="3"/>
      <c r="M49" s="3"/>
    </row>
    <row r="50" spans="1:13" x14ac:dyDescent="0.3">
      <c r="A50" s="3"/>
      <c r="B50" s="84"/>
      <c r="C50" s="83"/>
      <c r="D50" s="110"/>
      <c r="E50" s="84"/>
      <c r="F50" s="87"/>
      <c r="G50" s="100"/>
      <c r="H50" s="119"/>
      <c r="I50" s="120"/>
      <c r="J50" s="64"/>
      <c r="K50" s="3"/>
      <c r="L50" s="3"/>
      <c r="M50" s="3"/>
    </row>
    <row r="51" spans="1:13" x14ac:dyDescent="0.3">
      <c r="A51" s="3"/>
      <c r="B51" s="84"/>
      <c r="C51" s="85"/>
      <c r="D51" s="85"/>
      <c r="E51" s="84"/>
      <c r="F51" s="100"/>
      <c r="G51" s="87"/>
      <c r="H51" s="119"/>
      <c r="I51" s="113"/>
      <c r="J51" s="64"/>
      <c r="K51" s="3"/>
      <c r="L51" s="3"/>
      <c r="M51" s="3"/>
    </row>
    <row r="52" spans="1:13" x14ac:dyDescent="0.3">
      <c r="A52" s="3"/>
      <c r="B52" s="84"/>
      <c r="C52" s="85"/>
      <c r="D52" s="85"/>
      <c r="E52" s="84"/>
      <c r="F52" s="87"/>
      <c r="G52" s="82"/>
      <c r="H52" s="82"/>
      <c r="I52" s="40"/>
      <c r="J52" s="40"/>
      <c r="K52" s="3"/>
      <c r="L52" s="3"/>
      <c r="M52" s="3"/>
    </row>
    <row r="53" spans="1:13" x14ac:dyDescent="0.3">
      <c r="A53" s="3"/>
      <c r="B53" s="84"/>
      <c r="C53" s="85"/>
      <c r="D53" s="85"/>
      <c r="E53" s="84"/>
      <c r="F53" s="82"/>
      <c r="G53" s="82"/>
      <c r="H53" s="82"/>
      <c r="I53" s="40"/>
      <c r="J53" s="40"/>
      <c r="K53" s="3"/>
      <c r="L53" s="3"/>
      <c r="M53" s="3"/>
    </row>
    <row r="54" spans="1:13" x14ac:dyDescent="0.3">
      <c r="A54" s="3"/>
      <c r="B54" s="84"/>
      <c r="C54" s="85"/>
      <c r="D54" s="85"/>
      <c r="E54" s="6"/>
      <c r="F54" s="82"/>
      <c r="G54" s="82"/>
      <c r="H54" s="82"/>
      <c r="I54" s="40"/>
      <c r="J54" s="40"/>
      <c r="K54" s="3"/>
      <c r="L54" s="3"/>
      <c r="M54" s="3"/>
    </row>
    <row r="55" spans="1:13" x14ac:dyDescent="0.3">
      <c r="A55" s="3"/>
      <c r="B55" s="84"/>
      <c r="C55" s="85"/>
      <c r="D55" s="85"/>
      <c r="E55" s="6"/>
      <c r="F55" s="82"/>
      <c r="G55" s="82"/>
      <c r="H55" s="82"/>
      <c r="I55" s="40"/>
      <c r="J55" s="40"/>
      <c r="K55" s="3"/>
      <c r="L55" s="3"/>
      <c r="M55" s="3"/>
    </row>
    <row r="56" spans="1:13" x14ac:dyDescent="0.3">
      <c r="A56" s="3"/>
      <c r="B56" s="84"/>
      <c r="C56" s="85"/>
      <c r="D56" s="85"/>
      <c r="E56" s="6"/>
      <c r="F56" s="82"/>
      <c r="G56" s="82"/>
      <c r="H56" s="82"/>
      <c r="I56" s="40"/>
      <c r="J56" s="40"/>
      <c r="K56" s="3"/>
      <c r="L56" s="3"/>
      <c r="M56" s="3"/>
    </row>
    <row r="57" spans="1:13" x14ac:dyDescent="0.3">
      <c r="A57" s="3"/>
      <c r="B57" s="84"/>
      <c r="C57" s="85"/>
      <c r="D57" s="85"/>
      <c r="E57" s="6"/>
      <c r="F57" s="82"/>
      <c r="G57" s="82"/>
      <c r="H57" s="82"/>
      <c r="I57" s="40"/>
      <c r="J57" s="40"/>
      <c r="K57" s="3"/>
      <c r="L57" s="3"/>
      <c r="M57" s="3"/>
    </row>
    <row r="58" spans="1:13" x14ac:dyDescent="0.3">
      <c r="A58" s="3"/>
      <c r="B58" s="84"/>
      <c r="C58" s="85"/>
      <c r="D58" s="85"/>
      <c r="E58" s="6"/>
      <c r="F58" s="82"/>
      <c r="G58" s="82"/>
      <c r="H58" s="82"/>
      <c r="I58" s="40"/>
      <c r="J58" s="40"/>
      <c r="K58" s="3"/>
      <c r="L58" s="3"/>
      <c r="M58" s="3"/>
    </row>
    <row r="59" spans="1:13" x14ac:dyDescent="0.3">
      <c r="A59" s="3"/>
      <c r="B59" s="84"/>
      <c r="C59" s="85"/>
      <c r="D59" s="85"/>
      <c r="E59" s="6"/>
      <c r="F59" s="82"/>
      <c r="G59" s="82"/>
      <c r="H59" s="82"/>
      <c r="I59" s="40"/>
      <c r="J59" s="40"/>
      <c r="K59" s="3"/>
      <c r="L59" s="3"/>
      <c r="M59" s="3"/>
    </row>
    <row r="60" spans="1:13" x14ac:dyDescent="0.3">
      <c r="A60" s="3"/>
      <c r="B60" s="6"/>
      <c r="C60" s="121"/>
      <c r="D60" s="121"/>
      <c r="E60" s="6"/>
      <c r="F60" s="82"/>
      <c r="G60" s="82"/>
      <c r="H60" s="82"/>
      <c r="I60" s="40"/>
      <c r="J60" s="40"/>
      <c r="K60" s="3"/>
      <c r="L60" s="3"/>
      <c r="M60" s="3"/>
    </row>
    <row r="61" spans="1:13" x14ac:dyDescent="0.3">
      <c r="A61" s="3"/>
      <c r="B61" s="6"/>
      <c r="C61" s="121"/>
      <c r="D61" s="121"/>
      <c r="E61" s="6"/>
      <c r="F61" s="82"/>
      <c r="G61" s="82"/>
      <c r="H61" s="82"/>
      <c r="I61" s="40"/>
      <c r="J61" s="40"/>
      <c r="K61" s="3"/>
      <c r="L61" s="3"/>
      <c r="M61" s="3"/>
    </row>
    <row r="62" spans="1:13" x14ac:dyDescent="0.3">
      <c r="A62" s="3"/>
      <c r="B62" s="6"/>
      <c r="C62" s="121"/>
      <c r="D62" s="121"/>
      <c r="E62" s="6"/>
      <c r="F62" s="82"/>
      <c r="G62" s="82"/>
      <c r="H62" s="82"/>
      <c r="I62" s="40"/>
      <c r="J62" s="40"/>
      <c r="K62" s="3"/>
      <c r="L62" s="3"/>
      <c r="M62" s="3"/>
    </row>
    <row r="63" spans="1:13" x14ac:dyDescent="0.3">
      <c r="A63" s="3"/>
      <c r="B63" s="6"/>
      <c r="C63" s="121"/>
      <c r="D63" s="121"/>
      <c r="E63" s="6"/>
      <c r="F63" s="82"/>
      <c r="G63" s="82"/>
      <c r="H63" s="82"/>
      <c r="I63" s="40"/>
      <c r="J63" s="40"/>
      <c r="K63" s="3"/>
      <c r="L63" s="3"/>
      <c r="M63" s="3"/>
    </row>
    <row r="64" spans="1:13" x14ac:dyDescent="0.3">
      <c r="A64" s="3"/>
      <c r="B64" s="6"/>
      <c r="C64" s="121"/>
      <c r="D64" s="121"/>
      <c r="E64" s="6"/>
      <c r="F64" s="82"/>
      <c r="G64" s="82"/>
      <c r="H64" s="82"/>
      <c r="I64" s="40"/>
      <c r="J64" s="40"/>
      <c r="K64" s="3"/>
      <c r="L64" s="3"/>
      <c r="M64" s="3"/>
    </row>
    <row r="65" spans="1:13" x14ac:dyDescent="0.3">
      <c r="A65" s="3"/>
      <c r="B65" s="6"/>
      <c r="C65" s="121"/>
      <c r="D65" s="121"/>
      <c r="E65" s="6"/>
      <c r="F65" s="82"/>
      <c r="G65" s="82"/>
      <c r="H65" s="82"/>
      <c r="I65" s="40"/>
      <c r="J65" s="40"/>
      <c r="K65" s="3"/>
      <c r="L65" s="3"/>
      <c r="M65" s="3"/>
    </row>
    <row r="66" spans="1:13" x14ac:dyDescent="0.3">
      <c r="A66" s="3"/>
      <c r="B66" s="6"/>
      <c r="C66" s="121"/>
      <c r="D66" s="121"/>
      <c r="E66" s="6"/>
      <c r="F66" s="82"/>
      <c r="G66" s="82"/>
      <c r="H66" s="82"/>
      <c r="I66" s="40"/>
      <c r="J66" s="40"/>
      <c r="K66" s="3"/>
      <c r="L66" s="3"/>
      <c r="M66" s="3"/>
    </row>
    <row r="67" spans="1:13" x14ac:dyDescent="0.3">
      <c r="A67" s="3"/>
      <c r="B67" s="6"/>
      <c r="C67" s="121"/>
      <c r="D67" s="121"/>
      <c r="E67" s="6"/>
      <c r="F67" s="82"/>
      <c r="G67" s="82"/>
      <c r="H67" s="82"/>
      <c r="I67" s="40"/>
      <c r="J67" s="40"/>
      <c r="K67" s="3"/>
      <c r="L67" s="3"/>
      <c r="M67" s="3"/>
    </row>
    <row r="68" spans="1:13" x14ac:dyDescent="0.3">
      <c r="A68" s="3"/>
      <c r="B68" s="6"/>
      <c r="C68" s="121"/>
      <c r="D68" s="121"/>
      <c r="E68" s="6"/>
      <c r="F68" s="82"/>
      <c r="G68" s="82"/>
      <c r="H68" s="82"/>
      <c r="I68" s="40"/>
      <c r="J68" s="40"/>
      <c r="K68" s="3"/>
      <c r="L68" s="3"/>
      <c r="M68" s="3"/>
    </row>
    <row r="69" spans="1:13" x14ac:dyDescent="0.3">
      <c r="A69" s="3"/>
      <c r="B69" s="6"/>
      <c r="C69" s="121"/>
      <c r="D69" s="121"/>
      <c r="E69" s="6"/>
      <c r="F69" s="82"/>
      <c r="G69" s="82"/>
      <c r="H69" s="82"/>
      <c r="I69" s="40"/>
      <c r="J69" s="40"/>
      <c r="K69" s="3"/>
      <c r="L69" s="3"/>
      <c r="M69" s="3"/>
    </row>
    <row r="70" spans="1:13" x14ac:dyDescent="0.3">
      <c r="A70" s="3"/>
      <c r="B70" s="6"/>
      <c r="C70" s="121"/>
      <c r="D70" s="121"/>
      <c r="E70" s="6"/>
      <c r="F70" s="82"/>
      <c r="G70" s="82"/>
      <c r="H70" s="82"/>
      <c r="I70" s="40"/>
      <c r="J70" s="40"/>
      <c r="K70" s="3"/>
      <c r="L70" s="3"/>
      <c r="M70" s="3"/>
    </row>
    <row r="71" spans="1:13" x14ac:dyDescent="0.3">
      <c r="A71" s="3"/>
      <c r="B71" s="6"/>
      <c r="C71" s="121"/>
      <c r="D71" s="121"/>
      <c r="E71" s="6"/>
      <c r="F71" s="82"/>
      <c r="G71" s="82"/>
      <c r="H71" s="82"/>
      <c r="I71" s="40"/>
      <c r="J71" s="40"/>
      <c r="K71" s="3"/>
      <c r="L71" s="3"/>
      <c r="M71" s="3"/>
    </row>
    <row r="72" spans="1:13" x14ac:dyDescent="0.3">
      <c r="A72" s="3"/>
      <c r="B72" s="6"/>
      <c r="C72" s="121"/>
      <c r="D72" s="121"/>
      <c r="E72" s="6"/>
      <c r="F72" s="82"/>
      <c r="K72" s="3"/>
      <c r="L72" s="3"/>
      <c r="M72" s="3"/>
    </row>
    <row r="73" spans="1:13" x14ac:dyDescent="0.3">
      <c r="A73" s="3"/>
      <c r="B73" s="6"/>
      <c r="C73" s="121"/>
      <c r="D73" s="121"/>
      <c r="E73" s="6"/>
    </row>
    <row r="74" spans="1:13" x14ac:dyDescent="0.3">
      <c r="B74" s="6"/>
      <c r="C74" s="121"/>
      <c r="D74" s="121"/>
    </row>
    <row r="75" spans="1:13" x14ac:dyDescent="0.3">
      <c r="B75" s="6"/>
      <c r="C75" s="121"/>
      <c r="D75" s="121"/>
    </row>
  </sheetData>
  <mergeCells count="5">
    <mergeCell ref="L24:O24"/>
    <mergeCell ref="F34:J34"/>
    <mergeCell ref="B35:D35"/>
    <mergeCell ref="F2:K2"/>
    <mergeCell ref="B2:D2"/>
  </mergeCells>
  <dataValidations count="2">
    <dataValidation type="list" allowBlank="1" showInputMessage="1" showErrorMessage="1" sqref="B1">
      <formula1>Area</formula1>
    </dataValidation>
    <dataValidation type="list" allowBlank="1" showInputMessage="1" showErrorMessage="1" sqref="F1">
      <formula1>qUARTERS</formula1>
    </dataValidation>
  </dataValidations>
  <pageMargins left="0.25" right="0.25" top="0.43" bottom="0.45" header="0.3" footer="0.3"/>
  <pageSetup scale="66" orientation="landscape"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M215"/>
  <sheetViews>
    <sheetView workbookViewId="0">
      <selection activeCell="D8" sqref="D8"/>
    </sheetView>
  </sheetViews>
  <sheetFormatPr defaultRowHeight="18.75" x14ac:dyDescent="0.3"/>
  <cols>
    <col min="1" max="1" width="11.796875" customWidth="1"/>
    <col min="2" max="2" width="8.59765625" customWidth="1"/>
    <col min="3" max="3" width="9.59765625" customWidth="1"/>
    <col min="4" max="4" width="14.8984375" customWidth="1"/>
    <col min="5" max="5" width="10.19921875" customWidth="1"/>
    <col min="6" max="6" width="12.3984375" customWidth="1"/>
    <col min="7" max="7" width="16.3984375" customWidth="1"/>
    <col min="8" max="8" width="13.09765625" customWidth="1"/>
    <col min="9" max="9" width="14.296875" customWidth="1"/>
    <col min="10" max="11" width="8.69921875" customWidth="1"/>
    <col min="12" max="12" width="11.796875" customWidth="1"/>
    <col min="13" max="13" width="26" customWidth="1"/>
    <col min="14" max="14" width="4.8984375" customWidth="1"/>
    <col min="15" max="15" width="1.8984375" customWidth="1"/>
    <col min="16" max="22" width="4.8984375" customWidth="1"/>
    <col min="23" max="24" width="3.8984375" customWidth="1"/>
    <col min="25" max="25" width="4.8984375" customWidth="1"/>
    <col min="26" max="26" width="3.8984375" customWidth="1"/>
    <col min="27" max="28" width="4.8984375" customWidth="1"/>
    <col min="29" max="29" width="3.8984375" customWidth="1"/>
    <col min="30" max="32" width="4.8984375" customWidth="1"/>
    <col min="33" max="33" width="3.8984375" customWidth="1"/>
    <col min="34" max="35" width="4.8984375" customWidth="1"/>
    <col min="36" max="36" width="2.8984375" customWidth="1"/>
    <col min="37" max="37" width="5.8984375" customWidth="1"/>
    <col min="38" max="38" width="4.8984375" customWidth="1"/>
    <col min="39" max="41" width="5.8984375" customWidth="1"/>
    <col min="42" max="42" width="4.8984375" customWidth="1"/>
    <col min="43" max="43" width="5.8984375" customWidth="1"/>
    <col min="44" max="44" width="4.8984375" customWidth="1"/>
    <col min="45" max="54" width="5.8984375" customWidth="1"/>
    <col min="55" max="55" width="4.8984375" customWidth="1"/>
    <col min="56" max="57" width="5.8984375" customWidth="1"/>
    <col min="58" max="58" width="4.8984375" customWidth="1"/>
    <col min="59" max="63" width="5.8984375" customWidth="1"/>
    <col min="64" max="64" width="4.8984375" customWidth="1"/>
    <col min="65" max="67" width="5.8984375" customWidth="1"/>
    <col min="68" max="68" width="2.8984375" customWidth="1"/>
    <col min="69" max="70" width="5.8984375" customWidth="1"/>
    <col min="71" max="71" width="4.8984375" customWidth="1"/>
    <col min="72" max="76" width="5.8984375" customWidth="1"/>
    <col min="77" max="77" width="4.8984375" customWidth="1"/>
    <col min="78" max="78" width="5.8984375" customWidth="1"/>
    <col min="79" max="79" width="4.8984375" customWidth="1"/>
    <col min="80" max="83" width="5.8984375" customWidth="1"/>
    <col min="84" max="84" width="4.8984375" customWidth="1"/>
    <col min="85" max="92" width="5.8984375" customWidth="1"/>
    <col min="93" max="93" width="2.8984375" customWidth="1"/>
    <col min="94" max="96" width="5.8984375" customWidth="1"/>
    <col min="97" max="97" width="4.8984375" customWidth="1"/>
    <col min="98" max="103" width="5.8984375" customWidth="1"/>
    <col min="104" max="104" width="4.8984375" customWidth="1"/>
    <col min="105" max="105" width="5.8984375" customWidth="1"/>
    <col min="106" max="106" width="4.8984375" customWidth="1"/>
    <col min="107" max="117" width="5.8984375" customWidth="1"/>
    <col min="118" max="118" width="2.8984375" customWidth="1"/>
    <col min="119" max="129" width="5.8984375" customWidth="1"/>
    <col min="130" max="130" width="4.8984375" customWidth="1"/>
    <col min="131" max="134" width="5.8984375" customWidth="1"/>
    <col min="135" max="135" width="4.8984375" customWidth="1"/>
    <col min="136" max="140" width="5.8984375" customWidth="1"/>
    <col min="141" max="141" width="2.8984375" customWidth="1"/>
    <col min="142" max="145" width="5.8984375" customWidth="1"/>
    <col min="146" max="146" width="4.8984375" customWidth="1"/>
    <col min="147" max="148" width="5.8984375" customWidth="1"/>
    <col min="149" max="149" width="4.8984375" customWidth="1"/>
    <col min="150" max="151" width="5.8984375" customWidth="1"/>
    <col min="152" max="152" width="2.8984375" customWidth="1"/>
    <col min="153" max="154" width="5.8984375" customWidth="1"/>
    <col min="155" max="155" width="4.8984375" customWidth="1"/>
    <col min="156" max="158" width="5.8984375" customWidth="1"/>
    <col min="159" max="159" width="4.8984375" customWidth="1"/>
    <col min="160" max="160" width="5.8984375" customWidth="1"/>
    <col min="161" max="161" width="4.8984375" customWidth="1"/>
    <col min="162" max="163" width="5.8984375" customWidth="1"/>
    <col min="164" max="164" width="2.8984375" customWidth="1"/>
    <col min="165" max="171" width="5.8984375" customWidth="1"/>
    <col min="172" max="172" width="4.8984375" customWidth="1"/>
    <col min="173" max="176" width="5.8984375" customWidth="1"/>
    <col min="177" max="177" width="2.8984375" customWidth="1"/>
    <col min="178" max="178" width="4.8984375" customWidth="1"/>
    <col min="179" max="179" width="5.8984375" customWidth="1"/>
    <col min="180" max="180" width="4.8984375" customWidth="1"/>
    <col min="181" max="181" width="5.8984375" customWidth="1"/>
    <col min="182" max="184" width="4.8984375" customWidth="1"/>
    <col min="185" max="185" width="2.8984375" customWidth="1"/>
    <col min="186" max="189" width="5.8984375" customWidth="1"/>
    <col min="190" max="190" width="4.8984375" customWidth="1"/>
    <col min="191" max="191" width="5.8984375" customWidth="1"/>
    <col min="192" max="192" width="2.8984375" customWidth="1"/>
    <col min="193" max="196" width="5.8984375" customWidth="1"/>
    <col min="197" max="198" width="4.8984375" customWidth="1"/>
    <col min="199" max="200" width="5.8984375" customWidth="1"/>
    <col min="201" max="201" width="2.8984375" customWidth="1"/>
    <col min="202" max="202" width="4.8984375" customWidth="1"/>
    <col min="203" max="203" width="5.8984375" customWidth="1"/>
    <col min="204" max="205" width="4.8984375" customWidth="1"/>
    <col min="206" max="206" width="5.8984375" customWidth="1"/>
    <col min="207" max="207" width="2.8984375" customWidth="1"/>
    <col min="208" max="208" width="5.8984375" customWidth="1"/>
    <col min="209" max="209" width="4.8984375" customWidth="1"/>
    <col min="210" max="210" width="5.8984375" customWidth="1"/>
    <col min="211" max="211" width="2.8984375" customWidth="1"/>
    <col min="212" max="214" width="5.8984375" customWidth="1"/>
    <col min="215" max="215" width="2.8984375" customWidth="1"/>
    <col min="216" max="217" width="5.8984375" customWidth="1"/>
    <col min="218" max="218" width="2.8984375" customWidth="1"/>
    <col min="219" max="222" width="5.8984375" customWidth="1"/>
    <col min="223" max="223" width="2.8984375" customWidth="1"/>
    <col min="224" max="224" width="4.8984375" customWidth="1"/>
    <col min="225" max="226" width="5.8984375" customWidth="1"/>
    <col min="227" max="227" width="2.8984375" customWidth="1"/>
    <col min="228" max="228" width="5.8984375" customWidth="1"/>
    <col min="229" max="229" width="2.8984375" customWidth="1"/>
    <col min="230" max="230" width="5.8984375" customWidth="1"/>
    <col min="231" max="231" width="2.8984375" customWidth="1"/>
    <col min="232" max="234" width="5.8984375" customWidth="1"/>
    <col min="235" max="235" width="3.8984375" customWidth="1"/>
    <col min="236" max="236" width="10.09765625" customWidth="1"/>
    <col min="237" max="237" width="5.8984375" customWidth="1"/>
    <col min="238" max="238" width="3.8984375" customWidth="1"/>
    <col min="239" max="239" width="10.09765625" customWidth="1"/>
    <col min="240" max="240" width="26" bestFit="1" customWidth="1"/>
    <col min="241" max="241" width="16.3984375" customWidth="1"/>
    <col min="242" max="242" width="26" bestFit="1" customWidth="1"/>
    <col min="243" max="243" width="16.3984375" customWidth="1"/>
    <col min="244" max="244" width="26" bestFit="1" customWidth="1"/>
    <col min="245" max="245" width="16.3984375" customWidth="1"/>
    <col min="246" max="246" width="26" bestFit="1" customWidth="1"/>
    <col min="247" max="247" width="16.3984375" customWidth="1"/>
    <col min="248" max="248" width="26" bestFit="1" customWidth="1"/>
    <col min="249" max="249" width="16.3984375" customWidth="1"/>
    <col min="250" max="250" width="26" bestFit="1" customWidth="1"/>
    <col min="251" max="251" width="16.3984375" customWidth="1"/>
    <col min="252" max="252" width="26" bestFit="1" customWidth="1"/>
    <col min="253" max="253" width="16.3984375" customWidth="1"/>
    <col min="254" max="254" width="26" bestFit="1" customWidth="1"/>
    <col min="255" max="255" width="16.3984375" customWidth="1"/>
    <col min="256" max="256" width="26" bestFit="1" customWidth="1"/>
    <col min="257" max="257" width="16.3984375" customWidth="1"/>
    <col min="258" max="258" width="26" bestFit="1" customWidth="1"/>
    <col min="259" max="259" width="16.3984375" customWidth="1"/>
    <col min="260" max="260" width="26" bestFit="1" customWidth="1"/>
    <col min="261" max="261" width="16.3984375" customWidth="1"/>
    <col min="262" max="262" width="26" bestFit="1" customWidth="1"/>
    <col min="263" max="263" width="16.3984375" customWidth="1"/>
    <col min="264" max="264" width="26" bestFit="1" customWidth="1"/>
    <col min="265" max="265" width="16.3984375" customWidth="1"/>
    <col min="266" max="266" width="26" bestFit="1" customWidth="1"/>
    <col min="267" max="267" width="16.3984375" customWidth="1"/>
    <col min="268" max="268" width="26" bestFit="1" customWidth="1"/>
    <col min="269" max="269" width="16.3984375" customWidth="1"/>
    <col min="270" max="270" width="26" bestFit="1" customWidth="1"/>
    <col min="271" max="271" width="16.3984375" customWidth="1"/>
    <col min="272" max="272" width="26" bestFit="1" customWidth="1"/>
    <col min="273" max="273" width="16.3984375" customWidth="1"/>
    <col min="274" max="274" width="26" bestFit="1" customWidth="1"/>
    <col min="275" max="275" width="16.3984375" customWidth="1"/>
    <col min="276" max="276" width="26" bestFit="1" customWidth="1"/>
    <col min="277" max="277" width="16.3984375" customWidth="1"/>
    <col min="278" max="278" width="26" bestFit="1" customWidth="1"/>
    <col min="279" max="279" width="16.3984375" customWidth="1"/>
    <col min="280" max="280" width="26" bestFit="1" customWidth="1"/>
    <col min="281" max="281" width="16.3984375" customWidth="1"/>
    <col min="282" max="282" width="26" bestFit="1" customWidth="1"/>
    <col min="283" max="283" width="16.3984375" customWidth="1"/>
    <col min="284" max="284" width="26" bestFit="1" customWidth="1"/>
    <col min="285" max="285" width="16.3984375" customWidth="1"/>
    <col min="286" max="286" width="26" bestFit="1" customWidth="1"/>
    <col min="287" max="287" width="16.3984375" customWidth="1"/>
    <col min="288" max="288" width="26" bestFit="1" customWidth="1"/>
    <col min="289" max="289" width="16.3984375" customWidth="1"/>
    <col min="290" max="290" width="26" bestFit="1" customWidth="1"/>
    <col min="291" max="291" width="16.3984375" customWidth="1"/>
    <col min="292" max="292" width="26" bestFit="1" customWidth="1"/>
    <col min="293" max="293" width="16.3984375" customWidth="1"/>
    <col min="294" max="294" width="26" bestFit="1" customWidth="1"/>
    <col min="295" max="295" width="16.3984375" customWidth="1"/>
    <col min="296" max="296" width="26" bestFit="1" customWidth="1"/>
    <col min="297" max="297" width="16.3984375" customWidth="1"/>
    <col min="298" max="298" width="26" bestFit="1" customWidth="1"/>
    <col min="299" max="299" width="16.3984375" customWidth="1"/>
    <col min="300" max="300" width="26" bestFit="1" customWidth="1"/>
    <col min="301" max="301" width="16.3984375" customWidth="1"/>
    <col min="302" max="302" width="26" bestFit="1" customWidth="1"/>
    <col min="303" max="303" width="16.3984375" customWidth="1"/>
    <col min="304" max="304" width="26" bestFit="1" customWidth="1"/>
    <col min="305" max="305" width="16.3984375" customWidth="1"/>
    <col min="306" max="306" width="26" bestFit="1" customWidth="1"/>
    <col min="307" max="307" width="16.3984375" customWidth="1"/>
    <col min="308" max="308" width="26" bestFit="1" customWidth="1"/>
    <col min="309" max="309" width="16.3984375" customWidth="1"/>
    <col min="310" max="310" width="26" bestFit="1" customWidth="1"/>
    <col min="311" max="311" width="16.3984375" customWidth="1"/>
    <col min="312" max="312" width="26" bestFit="1" customWidth="1"/>
    <col min="313" max="313" width="16.3984375" customWidth="1"/>
    <col min="314" max="314" width="26" bestFit="1" customWidth="1"/>
    <col min="315" max="315" width="16.3984375" customWidth="1"/>
    <col min="316" max="316" width="26" bestFit="1" customWidth="1"/>
    <col min="317" max="317" width="16.3984375" customWidth="1"/>
    <col min="318" max="318" width="26" bestFit="1" customWidth="1"/>
    <col min="319" max="319" width="16.3984375" customWidth="1"/>
    <col min="320" max="320" width="26" bestFit="1" customWidth="1"/>
    <col min="321" max="321" width="16.3984375" customWidth="1"/>
    <col min="322" max="322" width="26" bestFit="1" customWidth="1"/>
    <col min="323" max="323" width="16.3984375" customWidth="1"/>
    <col min="324" max="324" width="26" bestFit="1" customWidth="1"/>
    <col min="325" max="325" width="16.3984375" customWidth="1"/>
    <col min="326" max="326" width="26" bestFit="1" customWidth="1"/>
    <col min="327" max="327" width="16.3984375" customWidth="1"/>
    <col min="328" max="328" width="26" bestFit="1" customWidth="1"/>
    <col min="329" max="329" width="16.3984375" customWidth="1"/>
    <col min="330" max="330" width="26" bestFit="1" customWidth="1"/>
    <col min="331" max="331" width="16.3984375" customWidth="1"/>
    <col min="332" max="332" width="26" bestFit="1" customWidth="1"/>
    <col min="333" max="333" width="16.3984375" customWidth="1"/>
    <col min="334" max="334" width="26" bestFit="1" customWidth="1"/>
    <col min="335" max="335" width="16.3984375" customWidth="1"/>
    <col min="336" max="336" width="26" bestFit="1" customWidth="1"/>
    <col min="337" max="337" width="16.3984375" customWidth="1"/>
    <col min="338" max="338" width="26" bestFit="1" customWidth="1"/>
    <col min="339" max="339" width="16.3984375" customWidth="1"/>
    <col min="340" max="340" width="26" bestFit="1" customWidth="1"/>
    <col min="341" max="341" width="16.3984375" customWidth="1"/>
    <col min="342" max="342" width="26" bestFit="1" customWidth="1"/>
    <col min="343" max="343" width="16.3984375" customWidth="1"/>
    <col min="344" max="344" width="26" bestFit="1" customWidth="1"/>
    <col min="345" max="345" width="16.3984375" customWidth="1"/>
    <col min="346" max="346" width="26" bestFit="1" customWidth="1"/>
    <col min="347" max="347" width="16.3984375" customWidth="1"/>
    <col min="348" max="348" width="26" bestFit="1" customWidth="1"/>
    <col min="349" max="349" width="16.3984375" customWidth="1"/>
    <col min="350" max="350" width="26" bestFit="1" customWidth="1"/>
    <col min="351" max="351" width="16.3984375" customWidth="1"/>
    <col min="352" max="352" width="26" bestFit="1" customWidth="1"/>
    <col min="353" max="353" width="16.3984375" customWidth="1"/>
    <col min="354" max="354" width="26" bestFit="1" customWidth="1"/>
    <col min="355" max="355" width="16.3984375" customWidth="1"/>
    <col min="356" max="356" width="26" bestFit="1" customWidth="1"/>
    <col min="357" max="357" width="16.3984375" customWidth="1"/>
    <col min="358" max="358" width="26" bestFit="1" customWidth="1"/>
    <col min="359" max="359" width="16.3984375" customWidth="1"/>
    <col min="360" max="360" width="26" bestFit="1" customWidth="1"/>
    <col min="361" max="361" width="16.3984375" customWidth="1"/>
    <col min="362" max="362" width="26" bestFit="1" customWidth="1"/>
    <col min="363" max="363" width="16.3984375" customWidth="1"/>
    <col min="364" max="364" width="26" bestFit="1" customWidth="1"/>
    <col min="365" max="365" width="16.3984375" customWidth="1"/>
    <col min="366" max="366" width="26" bestFit="1" customWidth="1"/>
    <col min="367" max="367" width="16.3984375" customWidth="1"/>
    <col min="368" max="368" width="26" bestFit="1" customWidth="1"/>
    <col min="369" max="369" width="16.3984375" customWidth="1"/>
    <col min="370" max="370" width="26" bestFit="1" customWidth="1"/>
    <col min="371" max="371" width="16.3984375" customWidth="1"/>
    <col min="372" max="372" width="26" bestFit="1" customWidth="1"/>
    <col min="373" max="373" width="16.3984375" customWidth="1"/>
    <col min="374" max="374" width="26" bestFit="1" customWidth="1"/>
    <col min="375" max="375" width="16.3984375" customWidth="1"/>
    <col min="376" max="376" width="26" bestFit="1" customWidth="1"/>
    <col min="377" max="377" width="16.3984375" customWidth="1"/>
    <col min="378" max="378" width="26" bestFit="1" customWidth="1"/>
    <col min="379" max="379" width="16.3984375" customWidth="1"/>
    <col min="380" max="380" width="26" bestFit="1" customWidth="1"/>
    <col min="381" max="381" width="16.3984375" customWidth="1"/>
    <col min="382" max="382" width="26" bestFit="1" customWidth="1"/>
    <col min="383" max="383" width="16.3984375" customWidth="1"/>
    <col min="384" max="384" width="26" bestFit="1" customWidth="1"/>
    <col min="385" max="385" width="16.3984375" customWidth="1"/>
    <col min="386" max="386" width="26" bestFit="1" customWidth="1"/>
    <col min="387" max="387" width="16.3984375" customWidth="1"/>
    <col min="388" max="388" width="26" bestFit="1" customWidth="1"/>
    <col min="389" max="389" width="16.3984375" customWidth="1"/>
    <col min="390" max="390" width="26" bestFit="1" customWidth="1"/>
    <col min="391" max="391" width="16.3984375" customWidth="1"/>
    <col min="392" max="392" width="26" bestFit="1" customWidth="1"/>
    <col min="393" max="393" width="16.3984375" customWidth="1"/>
    <col min="394" max="394" width="26" bestFit="1" customWidth="1"/>
    <col min="395" max="395" width="16.3984375" customWidth="1"/>
    <col min="396" max="396" width="26" bestFit="1" customWidth="1"/>
    <col min="397" max="397" width="16.3984375" customWidth="1"/>
    <col min="398" max="398" width="26" bestFit="1" customWidth="1"/>
    <col min="399" max="399" width="16.3984375" customWidth="1"/>
    <col min="400" max="400" width="26" bestFit="1" customWidth="1"/>
    <col min="401" max="401" width="16.3984375" customWidth="1"/>
    <col min="402" max="402" width="26" bestFit="1" customWidth="1"/>
    <col min="403" max="403" width="16.3984375" customWidth="1"/>
    <col min="404" max="404" width="26" bestFit="1" customWidth="1"/>
    <col min="405" max="405" width="16.3984375" customWidth="1"/>
    <col min="406" max="406" width="26" bestFit="1" customWidth="1"/>
    <col min="407" max="407" width="16.3984375" customWidth="1"/>
    <col min="408" max="408" width="26" bestFit="1" customWidth="1"/>
    <col min="409" max="409" width="16.3984375" customWidth="1"/>
    <col min="410" max="410" width="26" bestFit="1" customWidth="1"/>
    <col min="411" max="411" width="16.3984375" customWidth="1"/>
    <col min="412" max="412" width="26" bestFit="1" customWidth="1"/>
    <col min="413" max="413" width="16.3984375" customWidth="1"/>
    <col min="414" max="414" width="26" bestFit="1" customWidth="1"/>
    <col min="415" max="415" width="16.3984375" customWidth="1"/>
    <col min="416" max="416" width="26" bestFit="1" customWidth="1"/>
    <col min="417" max="417" width="16.3984375" customWidth="1"/>
    <col min="418" max="418" width="26" bestFit="1" customWidth="1"/>
    <col min="419" max="419" width="16.3984375" customWidth="1"/>
    <col min="420" max="420" width="26" bestFit="1" customWidth="1"/>
    <col min="421" max="421" width="16.3984375" customWidth="1"/>
    <col min="422" max="422" width="26" bestFit="1" customWidth="1"/>
    <col min="423" max="423" width="16.3984375" customWidth="1"/>
    <col min="424" max="424" width="26" bestFit="1" customWidth="1"/>
    <col min="425" max="425" width="16.3984375" customWidth="1"/>
    <col min="426" max="426" width="26" bestFit="1" customWidth="1"/>
    <col min="427" max="427" width="16.3984375" customWidth="1"/>
    <col min="428" max="428" width="26" bestFit="1" customWidth="1"/>
    <col min="429" max="429" width="16.3984375" customWidth="1"/>
    <col min="430" max="430" width="26" bestFit="1" customWidth="1"/>
    <col min="431" max="431" width="16.3984375" customWidth="1"/>
    <col min="432" max="432" width="26" bestFit="1" customWidth="1"/>
    <col min="433" max="433" width="16.3984375" customWidth="1"/>
    <col min="434" max="434" width="26" bestFit="1" customWidth="1"/>
    <col min="435" max="435" width="16.3984375" customWidth="1"/>
    <col min="436" max="436" width="26" bestFit="1" customWidth="1"/>
    <col min="437" max="437" width="16.3984375" customWidth="1"/>
    <col min="438" max="438" width="26" bestFit="1" customWidth="1"/>
    <col min="439" max="439" width="16.3984375" customWidth="1"/>
    <col min="440" max="440" width="26" bestFit="1" customWidth="1"/>
    <col min="441" max="441" width="16.3984375" customWidth="1"/>
    <col min="442" max="442" width="26" bestFit="1" customWidth="1"/>
    <col min="443" max="443" width="16.3984375" customWidth="1"/>
    <col min="444" max="444" width="26" bestFit="1" customWidth="1"/>
    <col min="445" max="445" width="16.3984375" customWidth="1"/>
    <col min="446" max="446" width="26" bestFit="1" customWidth="1"/>
    <col min="447" max="447" width="16.3984375" customWidth="1"/>
    <col min="448" max="448" width="26" bestFit="1" customWidth="1"/>
    <col min="449" max="449" width="16.3984375" customWidth="1"/>
    <col min="450" max="450" width="26" bestFit="1" customWidth="1"/>
    <col min="451" max="451" width="16.3984375" customWidth="1"/>
    <col min="452" max="452" width="26" bestFit="1" customWidth="1"/>
    <col min="453" max="453" width="16.3984375" customWidth="1"/>
    <col min="454" max="454" width="26" bestFit="1" customWidth="1"/>
    <col min="455" max="455" width="16.3984375" customWidth="1"/>
    <col min="456" max="456" width="26" bestFit="1" customWidth="1"/>
    <col min="457" max="457" width="16.3984375" customWidth="1"/>
    <col min="458" max="458" width="26" bestFit="1" customWidth="1"/>
    <col min="459" max="459" width="16.3984375" customWidth="1"/>
    <col min="460" max="460" width="26" bestFit="1" customWidth="1"/>
    <col min="461" max="461" width="16.3984375" customWidth="1"/>
    <col min="462" max="462" width="26" bestFit="1" customWidth="1"/>
    <col min="463" max="463" width="16.3984375" customWidth="1"/>
    <col min="464" max="464" width="26" bestFit="1" customWidth="1"/>
    <col min="465" max="465" width="16.3984375" customWidth="1"/>
    <col min="466" max="466" width="26" bestFit="1" customWidth="1"/>
    <col min="467" max="467" width="16.3984375" customWidth="1"/>
    <col min="468" max="468" width="26" bestFit="1" customWidth="1"/>
    <col min="469" max="469" width="16.3984375" customWidth="1"/>
    <col min="470" max="470" width="30.5" bestFit="1" customWidth="1"/>
    <col min="471" max="471" width="20.8984375" customWidth="1"/>
  </cols>
  <sheetData>
    <row r="1" spans="1:9" x14ac:dyDescent="0.3">
      <c r="A1" t="s">
        <v>270</v>
      </c>
    </row>
    <row r="2" spans="1:9" x14ac:dyDescent="0.3">
      <c r="B2" s="168" t="s">
        <v>189</v>
      </c>
    </row>
    <row r="3" spans="1:9" x14ac:dyDescent="0.3">
      <c r="A3" s="168" t="s">
        <v>187</v>
      </c>
      <c r="B3" t="s">
        <v>425</v>
      </c>
      <c r="C3" t="s">
        <v>426</v>
      </c>
      <c r="D3" t="s">
        <v>427</v>
      </c>
      <c r="E3" t="s">
        <v>428</v>
      </c>
      <c r="F3" t="s">
        <v>429</v>
      </c>
      <c r="G3" t="s">
        <v>430</v>
      </c>
      <c r="H3" t="s">
        <v>431</v>
      </c>
      <c r="I3" t="s">
        <v>432</v>
      </c>
    </row>
    <row r="4" spans="1:9" x14ac:dyDescent="0.3">
      <c r="A4" s="47">
        <v>1</v>
      </c>
      <c r="B4" s="169">
        <v>9417</v>
      </c>
      <c r="C4" s="169">
        <v>3667</v>
      </c>
      <c r="D4" s="169">
        <v>5745</v>
      </c>
      <c r="E4" s="169">
        <v>4885</v>
      </c>
      <c r="F4" s="169">
        <v>744</v>
      </c>
      <c r="G4" s="169">
        <v>113</v>
      </c>
      <c r="H4" s="169">
        <v>377</v>
      </c>
      <c r="I4" s="169">
        <v>95</v>
      </c>
    </row>
    <row r="5" spans="1:9" x14ac:dyDescent="0.3">
      <c r="A5" s="47">
        <v>2</v>
      </c>
      <c r="B5" s="169">
        <v>15230</v>
      </c>
      <c r="C5" s="169">
        <v>5816</v>
      </c>
      <c r="D5" s="169">
        <v>9394</v>
      </c>
      <c r="E5" s="169">
        <v>7993</v>
      </c>
      <c r="F5" s="169">
        <v>995</v>
      </c>
      <c r="G5" s="169">
        <v>323</v>
      </c>
      <c r="H5" s="169">
        <v>1010</v>
      </c>
      <c r="I5" s="169">
        <v>140</v>
      </c>
    </row>
    <row r="6" spans="1:9" x14ac:dyDescent="0.3">
      <c r="A6" s="47">
        <v>3</v>
      </c>
      <c r="B6" s="169">
        <v>10918</v>
      </c>
      <c r="C6" s="169">
        <v>5854</v>
      </c>
      <c r="D6" s="169">
        <v>5053</v>
      </c>
      <c r="E6" s="169">
        <v>4611</v>
      </c>
      <c r="F6" s="169">
        <v>322</v>
      </c>
      <c r="G6" s="169">
        <v>141</v>
      </c>
      <c r="H6" s="169">
        <v>412</v>
      </c>
      <c r="I6" s="169">
        <v>110</v>
      </c>
    </row>
    <row r="7" spans="1:9" x14ac:dyDescent="0.3">
      <c r="A7" s="47">
        <v>4</v>
      </c>
      <c r="B7" s="169">
        <v>18726</v>
      </c>
      <c r="C7" s="169">
        <v>5503</v>
      </c>
      <c r="D7" s="169">
        <v>13193</v>
      </c>
      <c r="E7" s="169">
        <v>11610</v>
      </c>
      <c r="F7" s="169">
        <v>1239</v>
      </c>
      <c r="G7" s="169">
        <v>546</v>
      </c>
      <c r="H7" s="169">
        <v>766</v>
      </c>
      <c r="I7" s="169">
        <v>146</v>
      </c>
    </row>
    <row r="8" spans="1:9" x14ac:dyDescent="0.3">
      <c r="A8" s="47">
        <v>5</v>
      </c>
      <c r="B8" s="169">
        <v>39837</v>
      </c>
      <c r="C8" s="169">
        <v>14862</v>
      </c>
      <c r="D8" s="169">
        <v>24946</v>
      </c>
      <c r="E8" s="169">
        <v>22457</v>
      </c>
      <c r="F8" s="169">
        <v>1873</v>
      </c>
      <c r="G8" s="169">
        <v>594</v>
      </c>
      <c r="H8" s="169">
        <v>1703</v>
      </c>
      <c r="I8" s="169">
        <v>601</v>
      </c>
    </row>
    <row r="9" spans="1:9" x14ac:dyDescent="0.3">
      <c r="A9" s="47">
        <v>6</v>
      </c>
      <c r="B9" s="169">
        <v>20195</v>
      </c>
      <c r="C9" s="169">
        <v>9215</v>
      </c>
      <c r="D9" s="169">
        <v>10955</v>
      </c>
      <c r="E9" s="169">
        <v>9410</v>
      </c>
      <c r="F9" s="169">
        <v>1387</v>
      </c>
      <c r="G9" s="169">
        <v>180</v>
      </c>
      <c r="H9" s="169">
        <v>528</v>
      </c>
      <c r="I9" s="169">
        <v>122</v>
      </c>
    </row>
    <row r="10" spans="1:9" x14ac:dyDescent="0.3">
      <c r="A10" s="47">
        <v>7</v>
      </c>
      <c r="B10" s="169">
        <v>14556</v>
      </c>
      <c r="C10" s="169">
        <v>6473</v>
      </c>
      <c r="D10" s="169">
        <v>8065</v>
      </c>
      <c r="E10" s="169">
        <v>6733</v>
      </c>
      <c r="F10" s="169">
        <v>1036</v>
      </c>
      <c r="G10" s="169">
        <v>247</v>
      </c>
      <c r="H10" s="169">
        <v>861</v>
      </c>
      <c r="I10" s="169">
        <v>286</v>
      </c>
    </row>
    <row r="11" spans="1:9" x14ac:dyDescent="0.3">
      <c r="A11" s="47">
        <v>8</v>
      </c>
      <c r="B11" s="169">
        <v>14955</v>
      </c>
      <c r="C11" s="169">
        <v>2649</v>
      </c>
      <c r="D11" s="169">
        <v>12259</v>
      </c>
      <c r="E11" s="169">
        <v>11589</v>
      </c>
      <c r="F11" s="169">
        <v>535</v>
      </c>
      <c r="G11" s="169">
        <v>114</v>
      </c>
      <c r="H11" s="169">
        <v>354</v>
      </c>
      <c r="I11" s="169">
        <v>112</v>
      </c>
    </row>
    <row r="12" spans="1:9" x14ac:dyDescent="0.3">
      <c r="A12" s="47">
        <v>9</v>
      </c>
      <c r="B12" s="169">
        <v>12540</v>
      </c>
      <c r="C12" s="169">
        <v>2898</v>
      </c>
      <c r="D12" s="169">
        <v>9623</v>
      </c>
      <c r="E12" s="169">
        <v>8741</v>
      </c>
      <c r="F12" s="169">
        <v>626</v>
      </c>
      <c r="G12" s="169">
        <v>205</v>
      </c>
      <c r="H12" s="169">
        <v>528</v>
      </c>
      <c r="I12" s="169">
        <v>184</v>
      </c>
    </row>
    <row r="13" spans="1:9" x14ac:dyDescent="0.3">
      <c r="A13" s="47">
        <v>10</v>
      </c>
      <c r="B13" s="169">
        <v>6844</v>
      </c>
      <c r="C13" s="169">
        <v>1595</v>
      </c>
      <c r="D13" s="169">
        <v>5246</v>
      </c>
      <c r="E13" s="169">
        <v>4034</v>
      </c>
      <c r="F13" s="169">
        <v>990</v>
      </c>
      <c r="G13" s="169">
        <v>172</v>
      </c>
      <c r="H13" s="169">
        <v>643</v>
      </c>
      <c r="I13" s="169">
        <v>133</v>
      </c>
    </row>
    <row r="14" spans="1:9" x14ac:dyDescent="0.3">
      <c r="A14" s="47">
        <v>11</v>
      </c>
      <c r="B14" s="169">
        <v>9880</v>
      </c>
      <c r="C14" s="169">
        <v>3152</v>
      </c>
      <c r="D14" s="169">
        <v>6726</v>
      </c>
      <c r="E14" s="169">
        <v>6491</v>
      </c>
      <c r="F14" s="169">
        <v>217</v>
      </c>
      <c r="G14" s="169">
        <v>21</v>
      </c>
      <c r="H14" s="169">
        <v>109</v>
      </c>
      <c r="I14" s="169">
        <v>35</v>
      </c>
    </row>
    <row r="15" spans="1:9" x14ac:dyDescent="0.3">
      <c r="A15" s="47">
        <v>12</v>
      </c>
      <c r="B15" s="169">
        <v>12911</v>
      </c>
      <c r="C15" s="169">
        <v>5881</v>
      </c>
      <c r="D15" s="169">
        <v>6951</v>
      </c>
      <c r="E15" s="169">
        <v>5719</v>
      </c>
      <c r="F15" s="169">
        <v>1031</v>
      </c>
      <c r="G15" s="169">
        <v>194</v>
      </c>
      <c r="H15" s="169">
        <v>529</v>
      </c>
      <c r="I15" s="169">
        <v>202</v>
      </c>
    </row>
    <row r="16" spans="1:9" x14ac:dyDescent="0.3">
      <c r="A16" s="47" t="s">
        <v>188</v>
      </c>
      <c r="B16" s="169">
        <v>186009</v>
      </c>
      <c r="C16" s="169">
        <v>67565</v>
      </c>
      <c r="D16" s="169">
        <v>118156</v>
      </c>
      <c r="E16" s="169">
        <v>104273</v>
      </c>
      <c r="F16" s="169">
        <v>10995</v>
      </c>
      <c r="G16" s="169">
        <v>2850</v>
      </c>
      <c r="H16" s="169">
        <v>7820</v>
      </c>
      <c r="I16" s="169">
        <v>2166</v>
      </c>
    </row>
    <row r="19" spans="1:5" x14ac:dyDescent="0.3">
      <c r="A19" t="s">
        <v>98</v>
      </c>
    </row>
    <row r="20" spans="1:5" x14ac:dyDescent="0.3">
      <c r="B20" s="168" t="s">
        <v>189</v>
      </c>
    </row>
    <row r="21" spans="1:5" x14ac:dyDescent="0.3">
      <c r="A21" s="168" t="s">
        <v>187</v>
      </c>
      <c r="B21" t="s">
        <v>271</v>
      </c>
      <c r="C21" t="s">
        <v>272</v>
      </c>
      <c r="D21" t="s">
        <v>273</v>
      </c>
      <c r="E21" t="s">
        <v>274</v>
      </c>
    </row>
    <row r="22" spans="1:5" x14ac:dyDescent="0.3">
      <c r="A22" s="47">
        <v>1</v>
      </c>
      <c r="B22" s="169">
        <v>4548</v>
      </c>
      <c r="C22" s="169">
        <v>2678</v>
      </c>
      <c r="D22" s="169">
        <v>471</v>
      </c>
      <c r="E22" s="169">
        <v>57</v>
      </c>
    </row>
    <row r="23" spans="1:5" x14ac:dyDescent="0.3">
      <c r="A23" s="47">
        <v>2</v>
      </c>
      <c r="B23" s="169">
        <v>7278</v>
      </c>
      <c r="C23" s="169">
        <v>4381</v>
      </c>
      <c r="D23" s="169">
        <v>586</v>
      </c>
      <c r="E23" s="169">
        <v>233</v>
      </c>
    </row>
    <row r="24" spans="1:5" x14ac:dyDescent="0.3">
      <c r="A24" s="47">
        <v>3</v>
      </c>
      <c r="B24" s="169">
        <v>4152</v>
      </c>
      <c r="C24" s="169">
        <v>3167</v>
      </c>
      <c r="D24" s="169">
        <v>312</v>
      </c>
      <c r="E24" s="169">
        <v>157</v>
      </c>
    </row>
    <row r="25" spans="1:5" x14ac:dyDescent="0.3">
      <c r="A25" s="47">
        <v>4</v>
      </c>
      <c r="B25" s="169">
        <v>9112</v>
      </c>
      <c r="C25" s="169">
        <v>4358</v>
      </c>
      <c r="D25" s="169">
        <v>844</v>
      </c>
      <c r="E25" s="169">
        <v>517</v>
      </c>
    </row>
    <row r="26" spans="1:5" x14ac:dyDescent="0.3">
      <c r="A26" s="47">
        <v>5</v>
      </c>
      <c r="B26" s="169">
        <v>14902</v>
      </c>
      <c r="C26" s="169">
        <v>7408</v>
      </c>
      <c r="D26" s="169">
        <v>1782</v>
      </c>
      <c r="E26" s="169">
        <v>701</v>
      </c>
    </row>
    <row r="27" spans="1:5" x14ac:dyDescent="0.3">
      <c r="A27" s="47">
        <v>6</v>
      </c>
      <c r="B27" s="169">
        <v>7870</v>
      </c>
      <c r="C27" s="169">
        <v>6319</v>
      </c>
      <c r="D27" s="169">
        <v>594</v>
      </c>
      <c r="E27" s="169">
        <v>177</v>
      </c>
    </row>
    <row r="28" spans="1:5" x14ac:dyDescent="0.3">
      <c r="A28" s="47">
        <v>7</v>
      </c>
      <c r="B28" s="169">
        <v>6328</v>
      </c>
      <c r="C28" s="169">
        <v>4617</v>
      </c>
      <c r="D28" s="169">
        <v>482</v>
      </c>
      <c r="E28" s="169">
        <v>126</v>
      </c>
    </row>
    <row r="29" spans="1:5" x14ac:dyDescent="0.3">
      <c r="A29" s="47">
        <v>8</v>
      </c>
      <c r="B29" s="169">
        <v>10895</v>
      </c>
      <c r="C29" s="169">
        <v>4653</v>
      </c>
      <c r="D29" s="169">
        <v>163</v>
      </c>
      <c r="E29" s="169">
        <v>443</v>
      </c>
    </row>
    <row r="30" spans="1:5" x14ac:dyDescent="0.3">
      <c r="A30" s="47">
        <v>9</v>
      </c>
      <c r="B30" s="169">
        <v>7984</v>
      </c>
      <c r="C30" s="169">
        <v>5436</v>
      </c>
      <c r="D30" s="169">
        <v>360</v>
      </c>
      <c r="E30" s="169">
        <v>1069</v>
      </c>
    </row>
    <row r="31" spans="1:5" x14ac:dyDescent="0.3">
      <c r="A31" s="47">
        <v>10</v>
      </c>
      <c r="B31" s="169">
        <v>4703</v>
      </c>
      <c r="C31" s="169">
        <v>2434</v>
      </c>
      <c r="D31" s="169">
        <v>401</v>
      </c>
      <c r="E31" s="169">
        <v>419</v>
      </c>
    </row>
    <row r="32" spans="1:5" x14ac:dyDescent="0.3">
      <c r="A32" s="47">
        <v>11</v>
      </c>
      <c r="B32" s="169">
        <v>5356</v>
      </c>
      <c r="C32" s="169">
        <v>3006</v>
      </c>
      <c r="D32" s="169">
        <v>255</v>
      </c>
      <c r="E32" s="169">
        <v>370</v>
      </c>
    </row>
    <row r="33" spans="1:9" x14ac:dyDescent="0.3">
      <c r="A33" s="47">
        <v>12</v>
      </c>
      <c r="B33" s="169">
        <v>5746</v>
      </c>
      <c r="C33" s="169">
        <v>3759</v>
      </c>
      <c r="D33" s="169">
        <v>533</v>
      </c>
      <c r="E33" s="169">
        <v>36</v>
      </c>
    </row>
    <row r="34" spans="1:9" x14ac:dyDescent="0.3">
      <c r="A34" s="47" t="s">
        <v>188</v>
      </c>
      <c r="B34" s="169">
        <v>88874</v>
      </c>
      <c r="C34" s="169">
        <v>52216</v>
      </c>
      <c r="D34" s="169">
        <v>6783</v>
      </c>
      <c r="E34" s="169">
        <v>4305</v>
      </c>
    </row>
    <row r="36" spans="1:9" x14ac:dyDescent="0.3">
      <c r="A36" t="s">
        <v>18</v>
      </c>
    </row>
    <row r="37" spans="1:9" x14ac:dyDescent="0.3">
      <c r="B37" s="168" t="s">
        <v>189</v>
      </c>
    </row>
    <row r="38" spans="1:9" x14ac:dyDescent="0.3">
      <c r="A38" s="168" t="s">
        <v>187</v>
      </c>
      <c r="B38" t="s">
        <v>194</v>
      </c>
      <c r="C38" t="s">
        <v>195</v>
      </c>
      <c r="D38" t="s">
        <v>196</v>
      </c>
      <c r="E38" t="s">
        <v>199</v>
      </c>
      <c r="F38" t="s">
        <v>198</v>
      </c>
      <c r="G38" t="s">
        <v>197</v>
      </c>
      <c r="H38" t="s">
        <v>200</v>
      </c>
      <c r="I38" t="s">
        <v>201</v>
      </c>
    </row>
    <row r="39" spans="1:9" x14ac:dyDescent="0.3">
      <c r="A39" s="47">
        <v>1</v>
      </c>
      <c r="B39" s="169">
        <v>676</v>
      </c>
      <c r="C39" s="169">
        <v>999</v>
      </c>
      <c r="D39" s="169">
        <v>431</v>
      </c>
      <c r="E39" s="169">
        <v>627</v>
      </c>
      <c r="F39" s="169">
        <v>103</v>
      </c>
      <c r="G39" s="169">
        <v>131</v>
      </c>
      <c r="H39" s="169">
        <v>96</v>
      </c>
      <c r="I39" s="169">
        <v>140</v>
      </c>
    </row>
    <row r="40" spans="1:9" x14ac:dyDescent="0.3">
      <c r="A40" s="47">
        <v>2</v>
      </c>
      <c r="B40" s="169">
        <v>2039</v>
      </c>
      <c r="C40" s="169">
        <v>1892</v>
      </c>
      <c r="D40" s="169">
        <v>1268</v>
      </c>
      <c r="E40" s="169">
        <v>1685</v>
      </c>
      <c r="F40" s="169">
        <v>51</v>
      </c>
      <c r="G40" s="169">
        <v>115</v>
      </c>
      <c r="H40" s="169">
        <v>242</v>
      </c>
      <c r="I40" s="169">
        <v>294</v>
      </c>
    </row>
    <row r="41" spans="1:9" x14ac:dyDescent="0.3">
      <c r="A41" s="47">
        <v>3</v>
      </c>
      <c r="B41" s="169">
        <v>715</v>
      </c>
      <c r="C41" s="169">
        <v>1051</v>
      </c>
      <c r="D41" s="169">
        <v>498</v>
      </c>
      <c r="E41" s="169">
        <v>674</v>
      </c>
      <c r="F41" s="169">
        <v>77</v>
      </c>
      <c r="G41" s="169">
        <v>86</v>
      </c>
      <c r="H41" s="169">
        <v>121</v>
      </c>
      <c r="I41" s="169">
        <v>160</v>
      </c>
    </row>
    <row r="42" spans="1:9" x14ac:dyDescent="0.3">
      <c r="A42" s="47">
        <v>4</v>
      </c>
      <c r="B42" s="169">
        <v>1719</v>
      </c>
      <c r="C42" s="169">
        <v>1787</v>
      </c>
      <c r="D42" s="169">
        <v>1339</v>
      </c>
      <c r="E42" s="169">
        <v>1433</v>
      </c>
      <c r="F42" s="169">
        <v>126</v>
      </c>
      <c r="G42" s="169">
        <v>344</v>
      </c>
      <c r="H42" s="169">
        <v>155</v>
      </c>
      <c r="I42" s="169">
        <v>181</v>
      </c>
    </row>
    <row r="43" spans="1:9" x14ac:dyDescent="0.3">
      <c r="A43" s="47">
        <v>5</v>
      </c>
      <c r="B43" s="169">
        <v>2988</v>
      </c>
      <c r="C43" s="169">
        <v>3721</v>
      </c>
      <c r="D43" s="169">
        <v>2029</v>
      </c>
      <c r="E43" s="169">
        <v>2421</v>
      </c>
      <c r="F43" s="169">
        <v>422</v>
      </c>
      <c r="G43" s="169">
        <v>400</v>
      </c>
      <c r="H43" s="169">
        <v>338</v>
      </c>
      <c r="I43" s="169">
        <v>625</v>
      </c>
    </row>
    <row r="44" spans="1:9" x14ac:dyDescent="0.3">
      <c r="A44" s="47">
        <v>6</v>
      </c>
      <c r="B44" s="169">
        <v>1692</v>
      </c>
      <c r="C44" s="169">
        <v>2321</v>
      </c>
      <c r="D44" s="169">
        <v>714</v>
      </c>
      <c r="E44" s="169">
        <v>952</v>
      </c>
      <c r="F44" s="169">
        <v>68</v>
      </c>
      <c r="G44" s="169">
        <v>125</v>
      </c>
      <c r="H44" s="169">
        <v>59</v>
      </c>
      <c r="I44" s="169">
        <v>183</v>
      </c>
    </row>
    <row r="45" spans="1:9" x14ac:dyDescent="0.3">
      <c r="A45" s="47">
        <v>7</v>
      </c>
      <c r="B45" s="169">
        <v>1608</v>
      </c>
      <c r="C45" s="169">
        <v>2276</v>
      </c>
      <c r="D45" s="169">
        <v>932</v>
      </c>
      <c r="E45" s="169">
        <v>1365</v>
      </c>
      <c r="F45" s="169">
        <v>179</v>
      </c>
      <c r="G45" s="169">
        <v>229</v>
      </c>
      <c r="H45" s="169">
        <v>299</v>
      </c>
      <c r="I45" s="169">
        <v>419</v>
      </c>
    </row>
    <row r="46" spans="1:9" x14ac:dyDescent="0.3">
      <c r="A46" s="47">
        <v>8</v>
      </c>
      <c r="B46" s="169">
        <v>667</v>
      </c>
      <c r="C46" s="169">
        <v>1034</v>
      </c>
      <c r="D46" s="169">
        <v>510</v>
      </c>
      <c r="E46" s="169">
        <v>719</v>
      </c>
      <c r="F46" s="169">
        <v>83</v>
      </c>
      <c r="G46" s="169">
        <v>88</v>
      </c>
      <c r="H46" s="169">
        <v>80</v>
      </c>
      <c r="I46" s="169">
        <v>175</v>
      </c>
    </row>
    <row r="47" spans="1:9" x14ac:dyDescent="0.3">
      <c r="A47" s="47">
        <v>9</v>
      </c>
      <c r="B47" s="169">
        <v>828</v>
      </c>
      <c r="C47" s="169">
        <v>903</v>
      </c>
      <c r="D47" s="169">
        <v>590</v>
      </c>
      <c r="E47" s="169">
        <v>746</v>
      </c>
      <c r="F47" s="169">
        <v>66</v>
      </c>
      <c r="G47" s="169">
        <v>65</v>
      </c>
      <c r="H47" s="169">
        <v>89</v>
      </c>
      <c r="I47" s="169">
        <v>83</v>
      </c>
    </row>
    <row r="48" spans="1:9" x14ac:dyDescent="0.3">
      <c r="A48" s="47">
        <v>10</v>
      </c>
      <c r="B48" s="169">
        <v>4684</v>
      </c>
      <c r="C48" s="169">
        <v>5799</v>
      </c>
      <c r="D48" s="169">
        <v>447</v>
      </c>
      <c r="E48" s="169">
        <v>546</v>
      </c>
      <c r="F48" s="169">
        <v>97</v>
      </c>
      <c r="G48" s="169">
        <v>100</v>
      </c>
      <c r="H48" s="169">
        <v>133</v>
      </c>
      <c r="I48" s="169">
        <v>134</v>
      </c>
    </row>
    <row r="49" spans="1:9" x14ac:dyDescent="0.3">
      <c r="A49" s="47">
        <v>11</v>
      </c>
      <c r="B49" s="169">
        <v>362</v>
      </c>
      <c r="C49" s="169">
        <v>449</v>
      </c>
      <c r="D49" s="169">
        <v>264</v>
      </c>
      <c r="E49" s="169">
        <v>280</v>
      </c>
      <c r="F49" s="169">
        <v>36</v>
      </c>
      <c r="G49" s="169">
        <v>97</v>
      </c>
      <c r="H49" s="169">
        <v>52</v>
      </c>
      <c r="I49" s="169">
        <v>33</v>
      </c>
    </row>
    <row r="50" spans="1:9" x14ac:dyDescent="0.3">
      <c r="A50" s="47">
        <v>12</v>
      </c>
      <c r="B50" s="169">
        <v>1204</v>
      </c>
      <c r="C50" s="169">
        <v>1646</v>
      </c>
      <c r="D50" s="169">
        <v>831</v>
      </c>
      <c r="E50" s="169">
        <v>936</v>
      </c>
      <c r="F50" s="169">
        <v>150</v>
      </c>
      <c r="G50" s="169">
        <v>171</v>
      </c>
      <c r="H50" s="169">
        <v>181</v>
      </c>
      <c r="I50" s="169">
        <v>227</v>
      </c>
    </row>
    <row r="51" spans="1:9" x14ac:dyDescent="0.3">
      <c r="A51" s="47" t="s">
        <v>188</v>
      </c>
      <c r="B51" s="169">
        <v>19182</v>
      </c>
      <c r="C51" s="169">
        <v>23878</v>
      </c>
      <c r="D51" s="169">
        <v>9853</v>
      </c>
      <c r="E51" s="169">
        <v>12384</v>
      </c>
      <c r="F51" s="169">
        <v>1458</v>
      </c>
      <c r="G51" s="169">
        <v>1951</v>
      </c>
      <c r="H51" s="169">
        <v>1845</v>
      </c>
      <c r="I51" s="169">
        <v>2654</v>
      </c>
    </row>
    <row r="53" spans="1:9" x14ac:dyDescent="0.3">
      <c r="A53" t="s">
        <v>99</v>
      </c>
    </row>
    <row r="54" spans="1:9" x14ac:dyDescent="0.3">
      <c r="B54" s="168" t="s">
        <v>189</v>
      </c>
    </row>
    <row r="55" spans="1:9" x14ac:dyDescent="0.3">
      <c r="A55" s="168" t="s">
        <v>187</v>
      </c>
      <c r="B55" t="s">
        <v>257</v>
      </c>
      <c r="C55" t="s">
        <v>256</v>
      </c>
      <c r="D55" t="s">
        <v>258</v>
      </c>
      <c r="E55" t="s">
        <v>259</v>
      </c>
    </row>
    <row r="56" spans="1:9" x14ac:dyDescent="0.3">
      <c r="A56" s="47">
        <v>1</v>
      </c>
      <c r="B56" s="169">
        <v>764</v>
      </c>
      <c r="C56" s="169">
        <v>797</v>
      </c>
      <c r="D56" s="169">
        <v>570</v>
      </c>
      <c r="E56" s="169">
        <v>720</v>
      </c>
    </row>
    <row r="57" spans="1:9" x14ac:dyDescent="0.3">
      <c r="A57" s="47">
        <v>2</v>
      </c>
      <c r="B57" s="169">
        <v>1051</v>
      </c>
      <c r="C57" s="169">
        <v>1137</v>
      </c>
      <c r="D57" s="169">
        <v>1226</v>
      </c>
      <c r="E57" s="169">
        <v>1585</v>
      </c>
    </row>
    <row r="58" spans="1:9" x14ac:dyDescent="0.3">
      <c r="A58" s="47">
        <v>3</v>
      </c>
      <c r="B58" s="169">
        <v>448</v>
      </c>
      <c r="C58" s="169">
        <v>484</v>
      </c>
      <c r="D58" s="169">
        <v>825</v>
      </c>
      <c r="E58" s="169">
        <v>945</v>
      </c>
    </row>
    <row r="59" spans="1:9" x14ac:dyDescent="0.3">
      <c r="A59" s="47">
        <v>4</v>
      </c>
      <c r="B59" s="169">
        <v>1395</v>
      </c>
      <c r="C59" s="169">
        <v>1470</v>
      </c>
      <c r="D59" s="169">
        <v>1170</v>
      </c>
      <c r="E59" s="169">
        <v>1681</v>
      </c>
    </row>
    <row r="60" spans="1:9" x14ac:dyDescent="0.3">
      <c r="A60" s="47">
        <v>5</v>
      </c>
      <c r="B60" s="169">
        <v>945</v>
      </c>
      <c r="C60" s="169">
        <v>1899</v>
      </c>
      <c r="D60" s="169">
        <v>1369</v>
      </c>
      <c r="E60" s="169">
        <v>1673</v>
      </c>
    </row>
    <row r="61" spans="1:9" x14ac:dyDescent="0.3">
      <c r="A61" s="47">
        <v>6</v>
      </c>
      <c r="B61" s="169">
        <v>699</v>
      </c>
      <c r="C61" s="169">
        <v>6144</v>
      </c>
      <c r="D61" s="169">
        <v>1084</v>
      </c>
      <c r="E61" s="169">
        <v>1537</v>
      </c>
    </row>
    <row r="62" spans="1:9" x14ac:dyDescent="0.3">
      <c r="A62" s="47">
        <v>7</v>
      </c>
      <c r="B62" s="169">
        <v>758</v>
      </c>
      <c r="C62" s="169">
        <v>1309</v>
      </c>
      <c r="D62" s="169">
        <v>616</v>
      </c>
      <c r="E62" s="169">
        <v>852</v>
      </c>
    </row>
    <row r="63" spans="1:9" x14ac:dyDescent="0.3">
      <c r="A63" s="47">
        <v>8</v>
      </c>
      <c r="B63" s="169">
        <v>4722</v>
      </c>
      <c r="C63" s="169">
        <v>4251</v>
      </c>
      <c r="D63" s="169">
        <v>1052</v>
      </c>
      <c r="E63" s="169">
        <v>943</v>
      </c>
    </row>
    <row r="64" spans="1:9" x14ac:dyDescent="0.3">
      <c r="A64" s="47">
        <v>9</v>
      </c>
      <c r="B64" s="169">
        <v>3065</v>
      </c>
      <c r="C64" s="169">
        <v>2814</v>
      </c>
      <c r="D64" s="169">
        <v>751</v>
      </c>
      <c r="E64" s="169">
        <v>852</v>
      </c>
    </row>
    <row r="65" spans="1:12" x14ac:dyDescent="0.3">
      <c r="A65" s="47">
        <v>10</v>
      </c>
      <c r="B65" s="169">
        <v>671</v>
      </c>
      <c r="C65" s="169">
        <v>861</v>
      </c>
      <c r="D65" s="169">
        <v>828</v>
      </c>
      <c r="E65" s="169">
        <v>1022</v>
      </c>
    </row>
    <row r="66" spans="1:12" x14ac:dyDescent="0.3">
      <c r="A66" s="47">
        <v>11</v>
      </c>
      <c r="B66" s="169">
        <v>1732</v>
      </c>
      <c r="C66" s="169">
        <v>2026</v>
      </c>
      <c r="D66" s="169">
        <v>736</v>
      </c>
      <c r="E66" s="169">
        <v>726</v>
      </c>
    </row>
    <row r="67" spans="1:12" x14ac:dyDescent="0.3">
      <c r="A67" s="47">
        <v>12</v>
      </c>
      <c r="B67" s="169">
        <v>493</v>
      </c>
      <c r="C67" s="169">
        <v>691</v>
      </c>
      <c r="D67" s="169">
        <v>526</v>
      </c>
      <c r="E67" s="169">
        <v>849</v>
      </c>
    </row>
    <row r="68" spans="1:12" x14ac:dyDescent="0.3">
      <c r="A68" s="47">
        <v>13</v>
      </c>
      <c r="B68" s="169">
        <v>327</v>
      </c>
      <c r="C68" s="169">
        <v>296</v>
      </c>
      <c r="D68" s="169">
        <v>5</v>
      </c>
      <c r="E68" s="169">
        <v>9</v>
      </c>
    </row>
    <row r="69" spans="1:12" x14ac:dyDescent="0.3">
      <c r="A69" s="47" t="s">
        <v>188</v>
      </c>
      <c r="B69" s="169">
        <v>17070</v>
      </c>
      <c r="C69" s="169">
        <v>24179</v>
      </c>
      <c r="D69" s="169">
        <v>10758</v>
      </c>
      <c r="E69" s="169">
        <v>13394</v>
      </c>
    </row>
    <row r="71" spans="1:12" x14ac:dyDescent="0.3">
      <c r="A71" t="s">
        <v>339</v>
      </c>
    </row>
    <row r="72" spans="1:12" x14ac:dyDescent="0.3">
      <c r="A72" s="168" t="s">
        <v>189</v>
      </c>
    </row>
    <row r="73" spans="1:12" x14ac:dyDescent="0.3">
      <c r="A73" t="s">
        <v>340</v>
      </c>
      <c r="B73" t="s">
        <v>341</v>
      </c>
      <c r="C73" t="s">
        <v>342</v>
      </c>
      <c r="D73" t="s">
        <v>343</v>
      </c>
      <c r="E73" t="s">
        <v>344</v>
      </c>
      <c r="F73" t="s">
        <v>345</v>
      </c>
      <c r="G73" t="s">
        <v>346</v>
      </c>
      <c r="H73" t="s">
        <v>347</v>
      </c>
      <c r="I73" t="s">
        <v>348</v>
      </c>
      <c r="J73" t="s">
        <v>349</v>
      </c>
      <c r="K73" t="s">
        <v>350</v>
      </c>
      <c r="L73" t="s">
        <v>351</v>
      </c>
    </row>
    <row r="74" spans="1:12" x14ac:dyDescent="0.3">
      <c r="A74" s="169">
        <v>450</v>
      </c>
      <c r="B74" s="169">
        <v>626</v>
      </c>
      <c r="C74" s="169">
        <v>234</v>
      </c>
      <c r="D74" s="169">
        <v>777</v>
      </c>
      <c r="E74" s="169">
        <v>528</v>
      </c>
      <c r="F74" s="169">
        <v>320</v>
      </c>
      <c r="G74" s="169">
        <v>343</v>
      </c>
      <c r="H74" s="169">
        <v>4150</v>
      </c>
      <c r="I74" s="169">
        <v>2568</v>
      </c>
      <c r="J74" s="169">
        <v>401</v>
      </c>
      <c r="K74" s="169">
        <v>1515</v>
      </c>
      <c r="L74" s="169">
        <v>237</v>
      </c>
    </row>
    <row r="75" spans="1:12" x14ac:dyDescent="0.3">
      <c r="A75" s="169" t="s">
        <v>372</v>
      </c>
      <c r="B75" s="169"/>
      <c r="C75" s="169"/>
      <c r="D75" s="169"/>
      <c r="E75" s="169"/>
      <c r="F75" s="169"/>
      <c r="G75" s="169"/>
      <c r="H75" s="169"/>
      <c r="I75" s="169"/>
      <c r="J75" s="169"/>
      <c r="K75" s="169"/>
      <c r="L75" s="169"/>
    </row>
    <row r="76" spans="1:12" x14ac:dyDescent="0.3">
      <c r="A76" s="168" t="s">
        <v>189</v>
      </c>
    </row>
    <row r="77" spans="1:12" x14ac:dyDescent="0.3">
      <c r="A77" t="s">
        <v>340</v>
      </c>
      <c r="B77" t="s">
        <v>341</v>
      </c>
      <c r="C77" t="s">
        <v>342</v>
      </c>
      <c r="D77" t="s">
        <v>343</v>
      </c>
      <c r="E77" t="s">
        <v>344</v>
      </c>
      <c r="F77" t="s">
        <v>345</v>
      </c>
      <c r="G77" t="s">
        <v>346</v>
      </c>
      <c r="H77" t="s">
        <v>347</v>
      </c>
      <c r="I77" t="s">
        <v>348</v>
      </c>
      <c r="J77" t="s">
        <v>349</v>
      </c>
      <c r="K77" t="s">
        <v>350</v>
      </c>
      <c r="L77" t="s">
        <v>351</v>
      </c>
    </row>
    <row r="78" spans="1:12" x14ac:dyDescent="0.3">
      <c r="A78" s="169">
        <v>342</v>
      </c>
      <c r="B78" s="169">
        <v>517</v>
      </c>
      <c r="C78" s="169">
        <v>292</v>
      </c>
      <c r="D78" s="169">
        <v>628</v>
      </c>
      <c r="E78" s="169">
        <v>948</v>
      </c>
      <c r="F78" s="169">
        <v>1039</v>
      </c>
      <c r="G78" s="169">
        <v>681</v>
      </c>
      <c r="H78" s="169">
        <v>3653</v>
      </c>
      <c r="I78" s="169">
        <v>1938</v>
      </c>
      <c r="J78" s="169">
        <v>432</v>
      </c>
      <c r="K78" s="169">
        <v>1532</v>
      </c>
      <c r="L78" s="169">
        <v>414</v>
      </c>
    </row>
    <row r="79" spans="1:12" x14ac:dyDescent="0.3">
      <c r="A79" s="169"/>
      <c r="B79" s="169"/>
      <c r="C79" s="169"/>
      <c r="D79" s="169"/>
      <c r="E79" s="169"/>
      <c r="F79" s="169"/>
      <c r="G79" s="169"/>
      <c r="H79" s="169"/>
      <c r="I79" s="169"/>
      <c r="J79" s="169"/>
      <c r="K79" s="169"/>
      <c r="L79" s="169"/>
    </row>
    <row r="80" spans="1:12" x14ac:dyDescent="0.3">
      <c r="A80" s="169"/>
      <c r="B80" s="169"/>
      <c r="C80" s="169"/>
      <c r="D80" s="169"/>
      <c r="E80" s="169"/>
      <c r="F80" s="169"/>
      <c r="G80" s="169"/>
      <c r="H80" s="169"/>
      <c r="I80" s="169"/>
      <c r="J80" s="169"/>
      <c r="K80" s="169"/>
      <c r="L80" s="169"/>
    </row>
    <row r="81" spans="1:13" x14ac:dyDescent="0.3">
      <c r="A81" s="169" t="s">
        <v>511</v>
      </c>
      <c r="B81" s="169"/>
      <c r="C81" s="169"/>
      <c r="D81" s="169"/>
      <c r="E81" s="169"/>
      <c r="F81" s="169"/>
      <c r="G81" s="169"/>
      <c r="H81" s="169"/>
      <c r="I81" s="169"/>
      <c r="J81" s="169"/>
      <c r="K81" s="169"/>
      <c r="L81" s="169"/>
    </row>
    <row r="82" spans="1:13" x14ac:dyDescent="0.3">
      <c r="B82" s="168" t="s">
        <v>189</v>
      </c>
    </row>
    <row r="83" spans="1:13" x14ac:dyDescent="0.3">
      <c r="A83" s="168" t="s">
        <v>187</v>
      </c>
      <c r="B83" t="s">
        <v>507</v>
      </c>
      <c r="C83" t="s">
        <v>508</v>
      </c>
      <c r="D83" t="s">
        <v>509</v>
      </c>
      <c r="E83" t="s">
        <v>510</v>
      </c>
    </row>
    <row r="84" spans="1:13" x14ac:dyDescent="0.3">
      <c r="A84" s="47">
        <v>1</v>
      </c>
      <c r="B84" s="169">
        <v>457</v>
      </c>
      <c r="C84" s="169">
        <v>10.92</v>
      </c>
      <c r="D84" s="169">
        <v>215</v>
      </c>
      <c r="E84" s="169">
        <v>12.3</v>
      </c>
      <c r="G84" s="47"/>
      <c r="H84" s="169"/>
      <c r="L84" s="47"/>
      <c r="M84" s="223"/>
    </row>
    <row r="85" spans="1:13" x14ac:dyDescent="0.3">
      <c r="A85" s="47">
        <v>2</v>
      </c>
      <c r="B85" s="169">
        <v>401</v>
      </c>
      <c r="C85" s="169">
        <v>10.44</v>
      </c>
      <c r="D85" s="169">
        <v>442</v>
      </c>
      <c r="E85" s="169">
        <v>10.08</v>
      </c>
      <c r="G85" s="47"/>
      <c r="H85" s="169"/>
      <c r="L85" s="47"/>
      <c r="M85" s="223"/>
    </row>
    <row r="86" spans="1:13" x14ac:dyDescent="0.3">
      <c r="A86" s="47">
        <v>3</v>
      </c>
      <c r="B86" s="169">
        <v>246</v>
      </c>
      <c r="C86" s="169">
        <v>10.59</v>
      </c>
      <c r="D86" s="169">
        <v>371</v>
      </c>
      <c r="E86" s="169">
        <v>11.66</v>
      </c>
      <c r="G86" s="47"/>
      <c r="H86" s="169"/>
      <c r="L86" s="47"/>
      <c r="M86" s="223"/>
    </row>
    <row r="87" spans="1:13" x14ac:dyDescent="0.3">
      <c r="A87" s="47">
        <v>4</v>
      </c>
      <c r="B87" s="169">
        <v>375</v>
      </c>
      <c r="C87" s="169">
        <v>9.36</v>
      </c>
      <c r="D87" s="169">
        <v>439</v>
      </c>
      <c r="E87" s="169">
        <v>10.32</v>
      </c>
      <c r="G87" s="47"/>
      <c r="H87" s="169"/>
      <c r="L87" s="47"/>
      <c r="M87" s="223"/>
    </row>
    <row r="88" spans="1:13" x14ac:dyDescent="0.3">
      <c r="A88" s="47">
        <v>5</v>
      </c>
      <c r="B88" s="169">
        <v>152</v>
      </c>
      <c r="C88" s="169">
        <v>10.94</v>
      </c>
      <c r="D88" s="169">
        <v>256</v>
      </c>
      <c r="E88" s="169">
        <v>11.34</v>
      </c>
      <c r="G88" s="47"/>
      <c r="H88" s="169"/>
      <c r="L88" s="47"/>
      <c r="M88" s="223"/>
    </row>
    <row r="89" spans="1:13" x14ac:dyDescent="0.3">
      <c r="A89" s="47">
        <v>6</v>
      </c>
      <c r="B89" s="169">
        <v>188</v>
      </c>
      <c r="C89" s="169">
        <v>12.05</v>
      </c>
      <c r="D89" s="169">
        <v>104</v>
      </c>
      <c r="E89" s="169">
        <v>12.6</v>
      </c>
      <c r="G89" s="47"/>
      <c r="H89" s="169"/>
      <c r="L89" s="47"/>
      <c r="M89" s="223"/>
    </row>
    <row r="90" spans="1:13" x14ac:dyDescent="0.3">
      <c r="A90" s="47">
        <v>7</v>
      </c>
      <c r="B90" s="169">
        <v>313</v>
      </c>
      <c r="C90" s="169">
        <v>12.91</v>
      </c>
      <c r="D90" s="169">
        <v>646</v>
      </c>
      <c r="E90" s="169">
        <v>11.24</v>
      </c>
      <c r="G90" s="47"/>
      <c r="H90" s="169"/>
      <c r="L90" s="47"/>
      <c r="M90" s="223"/>
    </row>
    <row r="91" spans="1:13" x14ac:dyDescent="0.3">
      <c r="A91" s="47">
        <v>8</v>
      </c>
      <c r="B91" s="169">
        <v>2904</v>
      </c>
      <c r="C91" s="169">
        <v>9.07</v>
      </c>
      <c r="D91" s="169">
        <v>2359</v>
      </c>
      <c r="E91" s="169">
        <v>9.41</v>
      </c>
      <c r="G91" s="47"/>
      <c r="H91" s="169"/>
      <c r="L91" s="47"/>
      <c r="M91" s="223"/>
    </row>
    <row r="92" spans="1:13" x14ac:dyDescent="0.3">
      <c r="A92" s="47">
        <v>9</v>
      </c>
      <c r="B92" s="169">
        <v>778</v>
      </c>
      <c r="C92" s="169">
        <v>8.9</v>
      </c>
      <c r="D92" s="169">
        <v>1015</v>
      </c>
      <c r="E92" s="169">
        <v>8.84</v>
      </c>
      <c r="G92" s="47"/>
      <c r="H92" s="169"/>
      <c r="L92" s="47"/>
      <c r="M92" s="223"/>
    </row>
    <row r="93" spans="1:13" x14ac:dyDescent="0.3">
      <c r="A93" s="47">
        <v>10</v>
      </c>
      <c r="B93" s="169">
        <v>470</v>
      </c>
      <c r="C93" s="169">
        <v>10.08</v>
      </c>
      <c r="D93" s="169">
        <v>462</v>
      </c>
      <c r="E93" s="169">
        <v>9.76</v>
      </c>
      <c r="G93" s="47"/>
      <c r="H93" s="169"/>
      <c r="L93" s="47"/>
      <c r="M93" s="223"/>
    </row>
    <row r="94" spans="1:13" x14ac:dyDescent="0.3">
      <c r="A94" s="47">
        <v>11</v>
      </c>
      <c r="B94" s="169">
        <v>1686</v>
      </c>
      <c r="C94" s="169">
        <v>9.25</v>
      </c>
      <c r="D94" s="169">
        <v>1041</v>
      </c>
      <c r="E94" s="169">
        <v>9.11</v>
      </c>
      <c r="G94" s="47"/>
      <c r="H94" s="169"/>
      <c r="L94" s="47"/>
      <c r="M94" s="223"/>
    </row>
    <row r="95" spans="1:13" x14ac:dyDescent="0.3">
      <c r="A95" s="47">
        <v>12</v>
      </c>
      <c r="B95" s="169">
        <v>80</v>
      </c>
      <c r="C95" s="169">
        <v>10.71</v>
      </c>
      <c r="D95" s="169">
        <v>160</v>
      </c>
      <c r="E95" s="169">
        <v>11.07</v>
      </c>
      <c r="G95" s="47"/>
      <c r="H95" s="169"/>
      <c r="L95" s="47"/>
      <c r="M95" s="223"/>
    </row>
    <row r="96" spans="1:13" x14ac:dyDescent="0.3">
      <c r="A96" s="47" t="s">
        <v>188</v>
      </c>
      <c r="B96" s="169">
        <v>8050</v>
      </c>
      <c r="C96" s="169">
        <v>125.22</v>
      </c>
      <c r="D96" s="169">
        <v>7510</v>
      </c>
      <c r="E96" s="169">
        <v>127.72999999999999</v>
      </c>
      <c r="G96" s="47"/>
      <c r="H96" s="169"/>
      <c r="L96" s="47"/>
      <c r="M96" s="223"/>
    </row>
    <row r="97" spans="1:13" x14ac:dyDescent="0.3">
      <c r="G97" s="47"/>
      <c r="H97" s="169"/>
      <c r="L97" s="47"/>
      <c r="M97" s="223"/>
    </row>
    <row r="100" spans="1:13" x14ac:dyDescent="0.3">
      <c r="A100" s="47"/>
      <c r="B100" s="169"/>
      <c r="C100" s="169"/>
      <c r="D100" s="169"/>
      <c r="E100" s="169"/>
      <c r="F100" s="169"/>
    </row>
    <row r="101" spans="1:13" x14ac:dyDescent="0.3">
      <c r="A101" s="47" t="s">
        <v>371</v>
      </c>
      <c r="B101" s="169"/>
      <c r="C101" s="169"/>
      <c r="D101" s="169"/>
      <c r="E101" s="169"/>
      <c r="F101" s="169"/>
      <c r="G101" s="169"/>
      <c r="H101" s="169"/>
      <c r="I101" s="169"/>
    </row>
    <row r="102" spans="1:13" x14ac:dyDescent="0.3">
      <c r="B102" s="168" t="s">
        <v>189</v>
      </c>
      <c r="G102" s="169"/>
      <c r="H102" s="169"/>
      <c r="I102" s="169"/>
    </row>
    <row r="103" spans="1:13" x14ac:dyDescent="0.3">
      <c r="A103" s="168" t="s">
        <v>187</v>
      </c>
      <c r="B103" t="s">
        <v>332</v>
      </c>
      <c r="C103" t="s">
        <v>333</v>
      </c>
      <c r="D103" t="s">
        <v>334</v>
      </c>
      <c r="E103" t="s">
        <v>335</v>
      </c>
      <c r="F103" t="s">
        <v>336</v>
      </c>
      <c r="G103" s="169"/>
      <c r="H103" s="169"/>
      <c r="I103" s="169"/>
    </row>
    <row r="104" spans="1:13" x14ac:dyDescent="0.3">
      <c r="A104" s="47">
        <v>1</v>
      </c>
      <c r="B104" s="169">
        <v>3828</v>
      </c>
      <c r="C104" s="169">
        <v>10994</v>
      </c>
      <c r="D104" s="169">
        <v>2039.31</v>
      </c>
      <c r="E104" s="169">
        <v>2502.1799999999998</v>
      </c>
      <c r="F104" s="169">
        <v>10.447811447811448</v>
      </c>
      <c r="G104" s="169"/>
      <c r="H104" s="169"/>
      <c r="I104" s="169"/>
    </row>
    <row r="105" spans="1:13" x14ac:dyDescent="0.3">
      <c r="A105" s="47">
        <v>10</v>
      </c>
      <c r="B105" s="169">
        <v>3101</v>
      </c>
      <c r="C105" s="169">
        <v>13970</v>
      </c>
      <c r="D105" s="169">
        <v>2394.1</v>
      </c>
      <c r="E105" s="169">
        <v>2848.85</v>
      </c>
      <c r="F105" s="169">
        <v>13.74909090909091</v>
      </c>
      <c r="G105" s="169"/>
      <c r="H105" s="169"/>
      <c r="I105" s="169"/>
    </row>
    <row r="106" spans="1:13" x14ac:dyDescent="0.3">
      <c r="A106" s="47">
        <v>11</v>
      </c>
      <c r="B106" s="169">
        <v>4839</v>
      </c>
      <c r="C106" s="169">
        <v>12071</v>
      </c>
      <c r="D106" s="169">
        <v>5666.9</v>
      </c>
      <c r="E106" s="169">
        <v>5971.2</v>
      </c>
      <c r="F106" s="169">
        <v>24.093023255813954</v>
      </c>
      <c r="G106" s="169"/>
      <c r="H106" s="169"/>
      <c r="I106" s="169"/>
    </row>
    <row r="107" spans="1:13" x14ac:dyDescent="0.3">
      <c r="A107" s="47">
        <v>12</v>
      </c>
      <c r="B107" s="169">
        <v>4785</v>
      </c>
      <c r="C107" s="169">
        <v>14777</v>
      </c>
      <c r="D107" s="169">
        <v>466.42</v>
      </c>
      <c r="E107" s="169">
        <v>589.79999999999995</v>
      </c>
      <c r="F107" s="169">
        <v>9.6166365280289323</v>
      </c>
      <c r="G107" s="169"/>
      <c r="H107" s="169"/>
      <c r="I107" s="169"/>
    </row>
    <row r="108" spans="1:13" x14ac:dyDescent="0.3">
      <c r="A108" s="47">
        <v>2</v>
      </c>
      <c r="B108" s="169">
        <v>6235</v>
      </c>
      <c r="C108" s="169">
        <v>22588</v>
      </c>
      <c r="D108" s="169">
        <v>2106.27</v>
      </c>
      <c r="E108" s="169">
        <v>2592.73</v>
      </c>
      <c r="F108" s="169">
        <v>18.658536585365855</v>
      </c>
      <c r="G108" s="169"/>
      <c r="H108" s="169"/>
      <c r="I108" s="169"/>
    </row>
    <row r="109" spans="1:13" x14ac:dyDescent="0.3">
      <c r="A109" s="47">
        <v>3</v>
      </c>
      <c r="B109" s="169">
        <v>3783</v>
      </c>
      <c r="C109" s="169">
        <v>9641</v>
      </c>
      <c r="D109" s="169">
        <v>1312.92</v>
      </c>
      <c r="E109" s="169">
        <v>1575.6</v>
      </c>
      <c r="F109" s="169">
        <v>12.882113821138212</v>
      </c>
      <c r="G109" s="169"/>
      <c r="H109" s="169"/>
      <c r="I109" s="169"/>
    </row>
    <row r="110" spans="1:13" x14ac:dyDescent="0.3">
      <c r="A110" s="47">
        <v>4</v>
      </c>
      <c r="B110" s="169">
        <v>7800</v>
      </c>
      <c r="C110" s="169">
        <v>41989</v>
      </c>
      <c r="D110" s="169">
        <v>1345.62</v>
      </c>
      <c r="E110" s="169">
        <v>2020</v>
      </c>
      <c r="F110" s="169">
        <v>12.332116788321168</v>
      </c>
      <c r="G110" s="169"/>
      <c r="H110" s="169"/>
      <c r="I110" s="169"/>
    </row>
    <row r="111" spans="1:13" x14ac:dyDescent="0.3">
      <c r="A111" s="47">
        <v>5</v>
      </c>
      <c r="B111" s="169">
        <v>18006</v>
      </c>
      <c r="C111" s="169">
        <v>51094</v>
      </c>
      <c r="D111" s="169">
        <v>1031.47</v>
      </c>
      <c r="E111" s="169">
        <v>1242.72</v>
      </c>
      <c r="F111" s="169">
        <v>12.805111821086262</v>
      </c>
      <c r="G111" s="169"/>
      <c r="H111" s="169"/>
      <c r="I111" s="169"/>
    </row>
    <row r="112" spans="1:13" x14ac:dyDescent="0.3">
      <c r="A112" s="47">
        <v>6</v>
      </c>
      <c r="B112" s="169">
        <v>7641</v>
      </c>
      <c r="C112" s="169">
        <v>20958</v>
      </c>
      <c r="D112" s="169">
        <v>989.35</v>
      </c>
      <c r="E112" s="169">
        <v>1331.71</v>
      </c>
      <c r="F112" s="169">
        <v>29.447887323943661</v>
      </c>
      <c r="G112" s="169"/>
      <c r="H112" s="169"/>
      <c r="I112" s="169"/>
    </row>
    <row r="113" spans="1:9" x14ac:dyDescent="0.3">
      <c r="A113" s="47">
        <v>7</v>
      </c>
      <c r="B113" s="169">
        <v>5296</v>
      </c>
      <c r="C113" s="169">
        <v>18347</v>
      </c>
      <c r="D113" s="169">
        <v>1633.46</v>
      </c>
      <c r="E113" s="169">
        <v>2013.07</v>
      </c>
      <c r="F113" s="169">
        <v>15.202928870292887</v>
      </c>
      <c r="G113" s="169"/>
      <c r="H113" s="169"/>
      <c r="I113" s="169"/>
    </row>
    <row r="114" spans="1:9" x14ac:dyDescent="0.3">
      <c r="A114" s="47">
        <v>8</v>
      </c>
      <c r="B114" s="169">
        <v>7803</v>
      </c>
      <c r="C114" s="169">
        <v>27639</v>
      </c>
      <c r="D114" s="169">
        <v>5658.78</v>
      </c>
      <c r="E114" s="169">
        <v>6315.51</v>
      </c>
      <c r="F114" s="169">
        <v>11.692810457516339</v>
      </c>
      <c r="G114" s="169"/>
      <c r="H114" s="169"/>
      <c r="I114" s="169"/>
    </row>
    <row r="115" spans="1:9" x14ac:dyDescent="0.3">
      <c r="A115" s="47">
        <v>9</v>
      </c>
      <c r="B115" s="169">
        <v>6115</v>
      </c>
      <c r="C115" s="169">
        <v>18083</v>
      </c>
      <c r="D115" s="169">
        <v>3050.66</v>
      </c>
      <c r="E115" s="169">
        <v>3186.37</v>
      </c>
      <c r="F115" s="169">
        <v>19.301136363636363</v>
      </c>
      <c r="G115" s="169"/>
      <c r="H115" s="169"/>
      <c r="I115" s="169"/>
    </row>
    <row r="116" spans="1:9" x14ac:dyDescent="0.3">
      <c r="A116" s="47" t="s">
        <v>188</v>
      </c>
      <c r="B116" s="169">
        <v>79232</v>
      </c>
      <c r="C116" s="169">
        <v>262151</v>
      </c>
      <c r="D116" s="169">
        <v>27695.26</v>
      </c>
      <c r="E116" s="169">
        <v>32189.74</v>
      </c>
      <c r="F116" s="169">
        <v>190.229204172046</v>
      </c>
      <c r="G116" s="169"/>
      <c r="H116" s="169"/>
      <c r="I116" s="169"/>
    </row>
    <row r="117" spans="1:9" x14ac:dyDescent="0.3">
      <c r="D117" s="169"/>
      <c r="E117" s="169"/>
      <c r="F117" s="169"/>
      <c r="G117" s="169"/>
      <c r="H117" s="169"/>
      <c r="I117" s="169"/>
    </row>
    <row r="118" spans="1:9" x14ac:dyDescent="0.3">
      <c r="D118" s="169"/>
      <c r="E118" s="169"/>
      <c r="F118" s="169"/>
      <c r="G118" s="169"/>
      <c r="H118" s="169"/>
      <c r="I118" s="169"/>
    </row>
    <row r="119" spans="1:9" x14ac:dyDescent="0.3">
      <c r="D119" s="169"/>
      <c r="E119" s="169"/>
      <c r="F119" s="169"/>
      <c r="G119" s="169"/>
      <c r="H119" s="169"/>
      <c r="I119" s="169"/>
    </row>
    <row r="120" spans="1:9" x14ac:dyDescent="0.3">
      <c r="A120" s="47"/>
      <c r="B120" s="169"/>
      <c r="C120" s="169"/>
      <c r="D120" s="169"/>
      <c r="E120" s="169"/>
      <c r="F120" s="169"/>
      <c r="G120" s="169"/>
      <c r="H120" s="169"/>
      <c r="I120" s="169"/>
    </row>
    <row r="121" spans="1:9" x14ac:dyDescent="0.3">
      <c r="A121" s="47"/>
      <c r="B121" s="169"/>
      <c r="C121" s="169"/>
      <c r="D121" s="169"/>
      <c r="E121" s="169"/>
      <c r="F121" s="169"/>
      <c r="G121" s="169"/>
      <c r="H121" s="169"/>
      <c r="I121" s="169"/>
    </row>
    <row r="122" spans="1:9" x14ac:dyDescent="0.3">
      <c r="A122" s="47"/>
      <c r="B122" s="169"/>
      <c r="C122" s="169"/>
      <c r="D122" s="169"/>
      <c r="E122" s="169"/>
      <c r="F122" s="169"/>
      <c r="G122" s="169"/>
      <c r="H122" s="169"/>
      <c r="I122" s="169"/>
    </row>
    <row r="123" spans="1:9" x14ac:dyDescent="0.3">
      <c r="A123" s="47"/>
      <c r="B123" s="169"/>
      <c r="C123" s="169"/>
      <c r="D123" s="169"/>
      <c r="E123" s="169"/>
      <c r="F123" s="169"/>
      <c r="G123" s="169"/>
      <c r="H123" s="169"/>
      <c r="I123" s="169"/>
    </row>
    <row r="124" spans="1:9" x14ac:dyDescent="0.3">
      <c r="A124" s="47"/>
      <c r="B124" s="169"/>
      <c r="C124" s="169"/>
      <c r="D124" s="169"/>
      <c r="E124" s="169"/>
      <c r="F124" s="169"/>
      <c r="G124" s="169"/>
      <c r="H124" s="169"/>
      <c r="I124" s="169"/>
    </row>
    <row r="125" spans="1:9" x14ac:dyDescent="0.3">
      <c r="A125" s="47"/>
      <c r="B125" s="169"/>
      <c r="C125" s="169"/>
      <c r="D125" s="169"/>
      <c r="E125" s="169"/>
      <c r="F125" s="169"/>
      <c r="G125" s="169"/>
      <c r="H125" s="169"/>
      <c r="I125" s="169"/>
    </row>
    <row r="126" spans="1:9" x14ac:dyDescent="0.3">
      <c r="A126" s="47"/>
      <c r="B126" s="169"/>
      <c r="C126" s="169"/>
      <c r="D126" s="169"/>
      <c r="E126" s="169"/>
      <c r="F126" s="169"/>
      <c r="G126" s="169"/>
      <c r="H126" s="169"/>
      <c r="I126" s="169"/>
    </row>
    <row r="127" spans="1:9" x14ac:dyDescent="0.3">
      <c r="A127" s="47"/>
      <c r="B127" s="169"/>
      <c r="C127" s="169"/>
      <c r="D127" s="169"/>
      <c r="E127" s="169"/>
      <c r="F127" s="169"/>
      <c r="G127" s="169"/>
      <c r="H127" s="169"/>
      <c r="I127" s="169"/>
    </row>
    <row r="128" spans="1:9" x14ac:dyDescent="0.3">
      <c r="A128" s="47"/>
      <c r="B128" s="169"/>
      <c r="C128" s="169"/>
      <c r="D128" s="169"/>
      <c r="E128" s="169"/>
      <c r="F128" s="169"/>
      <c r="G128" s="169"/>
      <c r="H128" s="169"/>
      <c r="I128" s="169"/>
    </row>
    <row r="129" spans="1:9" x14ac:dyDescent="0.3">
      <c r="A129" s="47"/>
      <c r="B129" s="169"/>
      <c r="C129" s="169"/>
      <c r="D129" s="169"/>
      <c r="E129" s="169"/>
      <c r="F129" s="169"/>
      <c r="G129" s="169"/>
      <c r="H129" s="169"/>
      <c r="I129" s="169"/>
    </row>
    <row r="130" spans="1:9" x14ac:dyDescent="0.3">
      <c r="A130" s="47"/>
      <c r="B130" s="169"/>
      <c r="C130" s="169"/>
      <c r="D130" s="169"/>
      <c r="E130" s="169"/>
      <c r="F130" s="169"/>
      <c r="G130" s="169"/>
      <c r="H130" s="169"/>
      <c r="I130" s="169"/>
    </row>
    <row r="131" spans="1:9" ht="19.5" thickBot="1" x14ac:dyDescent="0.35"/>
    <row r="132" spans="1:9" ht="40.5" thickBot="1" x14ac:dyDescent="0.35">
      <c r="A132" s="469" t="s">
        <v>474</v>
      </c>
      <c r="B132" s="470" t="s">
        <v>369</v>
      </c>
      <c r="C132" s="471" t="s">
        <v>370</v>
      </c>
    </row>
    <row r="133" spans="1:9" ht="27" x14ac:dyDescent="0.3">
      <c r="A133" s="472">
        <v>1</v>
      </c>
      <c r="B133" s="473" t="s">
        <v>538</v>
      </c>
      <c r="C133" s="473" t="s">
        <v>520</v>
      </c>
    </row>
    <row r="134" spans="1:9" ht="65.25" x14ac:dyDescent="0.3">
      <c r="A134" s="472">
        <v>2</v>
      </c>
      <c r="B134" s="473" t="s">
        <v>532</v>
      </c>
      <c r="C134" s="473" t="s">
        <v>521</v>
      </c>
    </row>
    <row r="135" spans="1:9" ht="78" x14ac:dyDescent="0.3">
      <c r="A135" s="472">
        <v>3</v>
      </c>
      <c r="B135" s="473" t="s">
        <v>522</v>
      </c>
      <c r="C135" s="473" t="s">
        <v>540</v>
      </c>
    </row>
    <row r="136" spans="1:9" ht="65.25" x14ac:dyDescent="0.3">
      <c r="A136" s="472">
        <v>4</v>
      </c>
      <c r="B136" s="473" t="s">
        <v>537</v>
      </c>
      <c r="C136" s="473" t="s">
        <v>523</v>
      </c>
    </row>
    <row r="137" spans="1:9" ht="52.5" x14ac:dyDescent="0.3">
      <c r="A137" s="472">
        <v>5</v>
      </c>
      <c r="B137" s="473" t="s">
        <v>536</v>
      </c>
      <c r="C137" s="473" t="s">
        <v>541</v>
      </c>
    </row>
    <row r="138" spans="1:9" ht="65.25" x14ac:dyDescent="0.3">
      <c r="A138" s="472">
        <v>6</v>
      </c>
      <c r="B138" s="473" t="s">
        <v>524</v>
      </c>
      <c r="C138" s="473" t="s">
        <v>542</v>
      </c>
    </row>
    <row r="139" spans="1:9" ht="39.75" x14ac:dyDescent="0.3">
      <c r="A139" s="472">
        <v>7</v>
      </c>
      <c r="B139" s="473" t="s">
        <v>525</v>
      </c>
      <c r="C139" s="473" t="s">
        <v>543</v>
      </c>
    </row>
    <row r="140" spans="1:9" ht="39.75" x14ac:dyDescent="0.3">
      <c r="A140" s="472">
        <v>8</v>
      </c>
      <c r="B140" s="473" t="s">
        <v>539</v>
      </c>
      <c r="C140" s="473" t="s">
        <v>526</v>
      </c>
    </row>
    <row r="141" spans="1:9" ht="52.5" x14ac:dyDescent="0.3">
      <c r="A141" s="472">
        <v>9</v>
      </c>
      <c r="B141" s="473" t="s">
        <v>533</v>
      </c>
      <c r="C141" s="473" t="s">
        <v>527</v>
      </c>
    </row>
    <row r="142" spans="1:9" ht="39.75" x14ac:dyDescent="0.3">
      <c r="A142" s="472">
        <v>10</v>
      </c>
      <c r="B142" s="473" t="s">
        <v>535</v>
      </c>
      <c r="C142" s="473" t="s">
        <v>528</v>
      </c>
    </row>
    <row r="143" spans="1:9" ht="27" x14ac:dyDescent="0.3">
      <c r="A143" s="472">
        <v>11</v>
      </c>
      <c r="B143" s="473" t="s">
        <v>529</v>
      </c>
      <c r="C143" s="473" t="s">
        <v>544</v>
      </c>
    </row>
    <row r="144" spans="1:9" ht="27" x14ac:dyDescent="0.3">
      <c r="A144" s="472">
        <v>12</v>
      </c>
      <c r="B144" s="473" t="s">
        <v>534</v>
      </c>
      <c r="C144" s="473" t="s">
        <v>530</v>
      </c>
    </row>
    <row r="147" spans="1:10" x14ac:dyDescent="0.3">
      <c r="A147" t="s">
        <v>373</v>
      </c>
      <c r="J147" t="s">
        <v>374</v>
      </c>
    </row>
    <row r="148" spans="1:10" x14ac:dyDescent="0.3">
      <c r="B148" s="168" t="s">
        <v>189</v>
      </c>
    </row>
    <row r="149" spans="1:10" x14ac:dyDescent="0.3">
      <c r="A149" s="168" t="s">
        <v>187</v>
      </c>
      <c r="B149" t="s">
        <v>378</v>
      </c>
      <c r="C149" t="s">
        <v>354</v>
      </c>
      <c r="D149" t="s">
        <v>377</v>
      </c>
      <c r="E149" t="s">
        <v>355</v>
      </c>
      <c r="F149" t="s">
        <v>356</v>
      </c>
    </row>
    <row r="150" spans="1:10" x14ac:dyDescent="0.3">
      <c r="A150" s="47">
        <v>1</v>
      </c>
      <c r="B150" s="169">
        <v>7808</v>
      </c>
      <c r="C150" s="169">
        <v>3218</v>
      </c>
      <c r="D150" s="169">
        <v>1427</v>
      </c>
      <c r="E150" s="169">
        <v>1747</v>
      </c>
      <c r="F150" s="169">
        <v>418</v>
      </c>
    </row>
    <row r="151" spans="1:10" x14ac:dyDescent="0.3">
      <c r="A151" s="47">
        <v>10</v>
      </c>
      <c r="B151" s="169">
        <v>6687</v>
      </c>
      <c r="C151" s="169">
        <v>2546</v>
      </c>
      <c r="D151" s="169">
        <v>926</v>
      </c>
      <c r="E151" s="169">
        <v>1252</v>
      </c>
      <c r="F151" s="169">
        <v>278</v>
      </c>
    </row>
    <row r="152" spans="1:10" x14ac:dyDescent="0.3">
      <c r="A152" s="47">
        <v>11</v>
      </c>
      <c r="B152" s="169">
        <v>6977</v>
      </c>
      <c r="C152" s="169">
        <v>2823</v>
      </c>
      <c r="D152" s="169">
        <v>2338</v>
      </c>
      <c r="E152" s="169">
        <v>938</v>
      </c>
      <c r="F152" s="169">
        <v>171</v>
      </c>
    </row>
    <row r="153" spans="1:10" x14ac:dyDescent="0.3">
      <c r="A153" s="47">
        <v>12</v>
      </c>
      <c r="B153" s="169">
        <v>12033</v>
      </c>
      <c r="C153" s="169">
        <v>4764</v>
      </c>
      <c r="D153" s="169">
        <v>2006</v>
      </c>
      <c r="E153" s="169">
        <v>2114</v>
      </c>
      <c r="F153" s="169">
        <v>630</v>
      </c>
    </row>
    <row r="154" spans="1:10" x14ac:dyDescent="0.3">
      <c r="A154" s="47">
        <v>13</v>
      </c>
      <c r="B154" s="169">
        <v>773</v>
      </c>
      <c r="C154" s="169">
        <v>139</v>
      </c>
      <c r="D154" s="169">
        <v>271</v>
      </c>
      <c r="E154" s="169">
        <v>61</v>
      </c>
      <c r="F154" s="169">
        <v>49</v>
      </c>
    </row>
    <row r="155" spans="1:10" x14ac:dyDescent="0.3">
      <c r="A155" s="47">
        <v>2</v>
      </c>
      <c r="B155" s="169">
        <v>14313</v>
      </c>
      <c r="C155" s="169">
        <v>5740</v>
      </c>
      <c r="D155" s="169">
        <v>2342</v>
      </c>
      <c r="E155" s="169">
        <v>2573</v>
      </c>
      <c r="F155" s="169">
        <v>763</v>
      </c>
    </row>
    <row r="156" spans="1:10" x14ac:dyDescent="0.3">
      <c r="A156" s="47">
        <v>3</v>
      </c>
      <c r="B156" s="169">
        <v>7356</v>
      </c>
      <c r="C156" s="169">
        <v>2923</v>
      </c>
      <c r="D156" s="169">
        <v>1301</v>
      </c>
      <c r="E156" s="169">
        <v>1539</v>
      </c>
      <c r="F156" s="169">
        <v>249</v>
      </c>
    </row>
    <row r="157" spans="1:10" x14ac:dyDescent="0.3">
      <c r="A157" s="47">
        <v>4</v>
      </c>
      <c r="B157" s="169">
        <v>19366</v>
      </c>
      <c r="C157" s="169">
        <v>7091</v>
      </c>
      <c r="D157" s="169">
        <v>4765</v>
      </c>
      <c r="E157" s="169">
        <v>4329</v>
      </c>
      <c r="F157" s="169">
        <v>1238</v>
      </c>
    </row>
    <row r="158" spans="1:10" x14ac:dyDescent="0.3">
      <c r="A158" s="47">
        <v>5</v>
      </c>
      <c r="B158" s="169">
        <v>29776</v>
      </c>
      <c r="C158" s="169">
        <v>13168</v>
      </c>
      <c r="D158" s="169">
        <v>12501</v>
      </c>
      <c r="E158" s="169">
        <v>6449</v>
      </c>
      <c r="F158" s="169">
        <v>1181</v>
      </c>
    </row>
    <row r="159" spans="1:10" x14ac:dyDescent="0.3">
      <c r="A159" s="47">
        <v>6</v>
      </c>
      <c r="B159" s="169">
        <v>14777</v>
      </c>
      <c r="C159" s="169">
        <v>6161</v>
      </c>
      <c r="D159" s="169">
        <v>5621</v>
      </c>
      <c r="E159" s="169">
        <v>2660</v>
      </c>
      <c r="F159" s="169">
        <v>836</v>
      </c>
    </row>
    <row r="160" spans="1:10" x14ac:dyDescent="0.3">
      <c r="A160" s="47">
        <v>7</v>
      </c>
      <c r="B160" s="169">
        <v>11292</v>
      </c>
      <c r="C160" s="169">
        <v>4749</v>
      </c>
      <c r="D160" s="169">
        <v>2007</v>
      </c>
      <c r="E160" s="169">
        <v>1971</v>
      </c>
      <c r="F160" s="169">
        <v>671</v>
      </c>
    </row>
    <row r="161" spans="1:9" x14ac:dyDescent="0.3">
      <c r="A161" s="47">
        <v>8</v>
      </c>
      <c r="B161" s="169">
        <v>12196</v>
      </c>
      <c r="C161" s="169">
        <v>4698</v>
      </c>
      <c r="D161" s="169">
        <v>2706</v>
      </c>
      <c r="E161" s="169">
        <v>2157</v>
      </c>
      <c r="F161" s="169">
        <v>360</v>
      </c>
    </row>
    <row r="162" spans="1:9" x14ac:dyDescent="0.3">
      <c r="A162" s="47">
        <v>9</v>
      </c>
      <c r="B162" s="169">
        <v>11692</v>
      </c>
      <c r="C162" s="169">
        <v>5159</v>
      </c>
      <c r="D162" s="169">
        <v>5331</v>
      </c>
      <c r="E162" s="169">
        <v>1984</v>
      </c>
      <c r="F162" s="169">
        <v>415</v>
      </c>
    </row>
    <row r="163" spans="1:9" x14ac:dyDescent="0.3">
      <c r="A163" s="47" t="s">
        <v>188</v>
      </c>
      <c r="B163" s="169">
        <v>155046</v>
      </c>
      <c r="C163" s="169">
        <v>63179</v>
      </c>
      <c r="D163" s="169">
        <v>43542</v>
      </c>
      <c r="E163" s="169">
        <v>29774</v>
      </c>
      <c r="F163" s="169">
        <v>7259</v>
      </c>
    </row>
    <row r="165" spans="1:9" x14ac:dyDescent="0.3">
      <c r="A165" t="s">
        <v>374</v>
      </c>
    </row>
    <row r="166" spans="1:9" x14ac:dyDescent="0.3">
      <c r="B166" s="168" t="s">
        <v>189</v>
      </c>
    </row>
    <row r="167" spans="1:9" x14ac:dyDescent="0.3">
      <c r="A167" s="168" t="s">
        <v>187</v>
      </c>
      <c r="B167" t="s">
        <v>379</v>
      </c>
      <c r="C167" t="s">
        <v>380</v>
      </c>
      <c r="D167" t="s">
        <v>381</v>
      </c>
      <c r="E167" t="s">
        <v>382</v>
      </c>
      <c r="F167" t="s">
        <v>383</v>
      </c>
      <c r="G167" t="s">
        <v>388</v>
      </c>
      <c r="H167" t="s">
        <v>389</v>
      </c>
      <c r="I167" t="s">
        <v>390</v>
      </c>
    </row>
    <row r="168" spans="1:9" x14ac:dyDescent="0.3">
      <c r="A168" s="47">
        <v>1</v>
      </c>
      <c r="B168" s="169">
        <v>1046</v>
      </c>
      <c r="C168" s="169">
        <v>552</v>
      </c>
      <c r="D168" s="169">
        <v>210</v>
      </c>
      <c r="E168" s="169">
        <v>181</v>
      </c>
      <c r="F168" s="169">
        <v>60</v>
      </c>
      <c r="G168" s="169">
        <v>848</v>
      </c>
      <c r="H168" s="169">
        <v>819</v>
      </c>
      <c r="I168" s="169">
        <v>123</v>
      </c>
    </row>
    <row r="169" spans="1:9" x14ac:dyDescent="0.3">
      <c r="A169" s="47">
        <v>10</v>
      </c>
      <c r="B169" s="169">
        <v>912</v>
      </c>
      <c r="C169" s="169">
        <v>420</v>
      </c>
      <c r="D169" s="169">
        <v>117</v>
      </c>
      <c r="E169" s="169">
        <v>69</v>
      </c>
      <c r="F169" s="169">
        <v>104</v>
      </c>
      <c r="G169" s="169">
        <v>477</v>
      </c>
      <c r="H169" s="169">
        <v>450</v>
      </c>
      <c r="I169" s="169">
        <v>32</v>
      </c>
    </row>
    <row r="170" spans="1:9" x14ac:dyDescent="0.3">
      <c r="A170" s="47">
        <v>11</v>
      </c>
      <c r="B170" s="169">
        <v>598</v>
      </c>
      <c r="C170" s="169">
        <v>354</v>
      </c>
      <c r="D170" s="169">
        <v>136</v>
      </c>
      <c r="E170" s="169">
        <v>57</v>
      </c>
      <c r="F170" s="169">
        <v>35</v>
      </c>
      <c r="G170" s="169">
        <v>345</v>
      </c>
      <c r="H170" s="169">
        <v>312</v>
      </c>
      <c r="I170" s="169">
        <v>23</v>
      </c>
    </row>
    <row r="171" spans="1:9" x14ac:dyDescent="0.3">
      <c r="A171" s="47">
        <v>12</v>
      </c>
      <c r="B171" s="169">
        <v>1624</v>
      </c>
      <c r="C171" s="169">
        <v>795</v>
      </c>
      <c r="D171" s="169">
        <v>230</v>
      </c>
      <c r="E171" s="169">
        <v>201</v>
      </c>
      <c r="F171" s="169">
        <v>104</v>
      </c>
      <c r="G171" s="169">
        <v>1075</v>
      </c>
      <c r="H171" s="169">
        <v>1043</v>
      </c>
      <c r="I171" s="169">
        <v>187</v>
      </c>
    </row>
    <row r="172" spans="1:9" x14ac:dyDescent="0.3">
      <c r="A172" s="47">
        <v>2</v>
      </c>
      <c r="B172" s="169">
        <v>2284</v>
      </c>
      <c r="C172" s="169">
        <v>953</v>
      </c>
      <c r="D172" s="169">
        <v>355</v>
      </c>
      <c r="E172" s="169">
        <v>355</v>
      </c>
      <c r="F172" s="169">
        <v>137</v>
      </c>
      <c r="G172" s="169">
        <v>1764</v>
      </c>
      <c r="H172" s="169">
        <v>1657</v>
      </c>
      <c r="I172" s="169">
        <v>134</v>
      </c>
    </row>
    <row r="173" spans="1:9" x14ac:dyDescent="0.3">
      <c r="A173" s="47">
        <v>3</v>
      </c>
      <c r="B173" s="169">
        <v>918</v>
      </c>
      <c r="C173" s="169">
        <v>504</v>
      </c>
      <c r="D173" s="169">
        <v>154</v>
      </c>
      <c r="E173" s="169">
        <v>130</v>
      </c>
      <c r="F173" s="169">
        <v>39</v>
      </c>
      <c r="G173" s="169">
        <v>684</v>
      </c>
      <c r="H173" s="169">
        <v>650</v>
      </c>
      <c r="I173" s="169">
        <v>122</v>
      </c>
    </row>
    <row r="174" spans="1:9" x14ac:dyDescent="0.3">
      <c r="A174" s="47">
        <v>4</v>
      </c>
      <c r="B174" s="169">
        <v>1964</v>
      </c>
      <c r="C174" s="169">
        <v>921</v>
      </c>
      <c r="D174" s="169">
        <v>488</v>
      </c>
      <c r="E174" s="169">
        <v>421</v>
      </c>
      <c r="F174" s="169">
        <v>201</v>
      </c>
      <c r="G174" s="169">
        <v>1368</v>
      </c>
      <c r="H174" s="169">
        <v>1306</v>
      </c>
      <c r="I174" s="169">
        <v>348</v>
      </c>
    </row>
    <row r="175" spans="1:9" x14ac:dyDescent="0.3">
      <c r="A175" s="47">
        <v>5</v>
      </c>
      <c r="B175" s="169">
        <v>3357</v>
      </c>
      <c r="C175" s="169">
        <v>1922</v>
      </c>
      <c r="D175" s="169">
        <v>1759</v>
      </c>
      <c r="E175" s="169">
        <v>558</v>
      </c>
      <c r="F175" s="169">
        <v>267</v>
      </c>
      <c r="G175" s="169">
        <v>2518</v>
      </c>
      <c r="H175" s="169">
        <v>2419</v>
      </c>
      <c r="I175" s="169">
        <v>860</v>
      </c>
    </row>
    <row r="176" spans="1:9" x14ac:dyDescent="0.3">
      <c r="A176" s="47">
        <v>6</v>
      </c>
      <c r="B176" s="169">
        <v>1532</v>
      </c>
      <c r="C176" s="169">
        <v>814</v>
      </c>
      <c r="D176" s="169">
        <v>685</v>
      </c>
      <c r="E176" s="169">
        <v>160</v>
      </c>
      <c r="F176" s="169">
        <v>92</v>
      </c>
      <c r="G176" s="169">
        <v>897</v>
      </c>
      <c r="H176" s="169">
        <v>834</v>
      </c>
      <c r="I176" s="169">
        <v>102</v>
      </c>
    </row>
    <row r="177" spans="1:9" x14ac:dyDescent="0.3">
      <c r="A177" s="47">
        <v>7</v>
      </c>
      <c r="B177" s="169">
        <v>2541</v>
      </c>
      <c r="C177" s="169">
        <v>1179</v>
      </c>
      <c r="D177" s="169">
        <v>440</v>
      </c>
      <c r="E177" s="169">
        <v>369</v>
      </c>
      <c r="F177" s="169">
        <v>229</v>
      </c>
      <c r="G177" s="169">
        <v>1996</v>
      </c>
      <c r="H177" s="169">
        <v>1870</v>
      </c>
      <c r="I177" s="169">
        <v>212</v>
      </c>
    </row>
    <row r="178" spans="1:9" x14ac:dyDescent="0.3">
      <c r="A178" s="47">
        <v>8</v>
      </c>
      <c r="B178" s="169">
        <v>1110</v>
      </c>
      <c r="C178" s="169">
        <v>647</v>
      </c>
      <c r="D178" s="169">
        <v>188</v>
      </c>
      <c r="E178" s="169">
        <v>154</v>
      </c>
      <c r="F178" s="169">
        <v>80</v>
      </c>
      <c r="G178" s="169">
        <v>735</v>
      </c>
      <c r="H178" s="169">
        <v>646</v>
      </c>
      <c r="I178" s="169">
        <v>51</v>
      </c>
    </row>
    <row r="179" spans="1:9" x14ac:dyDescent="0.3">
      <c r="A179" s="47">
        <v>9</v>
      </c>
      <c r="B179" s="169">
        <v>1167</v>
      </c>
      <c r="C179" s="169">
        <v>612</v>
      </c>
      <c r="D179" s="169">
        <v>344</v>
      </c>
      <c r="E179" s="169">
        <v>148</v>
      </c>
      <c r="F179" s="169">
        <v>68</v>
      </c>
      <c r="G179" s="169">
        <v>850</v>
      </c>
      <c r="H179" s="169">
        <v>774</v>
      </c>
      <c r="I179" s="169">
        <v>35</v>
      </c>
    </row>
    <row r="180" spans="1:9" x14ac:dyDescent="0.3">
      <c r="A180" s="47" t="s">
        <v>188</v>
      </c>
      <c r="B180" s="169">
        <v>19053</v>
      </c>
      <c r="C180" s="169">
        <v>9673</v>
      </c>
      <c r="D180" s="169">
        <v>5106</v>
      </c>
      <c r="E180" s="169">
        <v>2803</v>
      </c>
      <c r="F180" s="169">
        <v>1416</v>
      </c>
      <c r="G180" s="169">
        <v>13557</v>
      </c>
      <c r="H180" s="169">
        <v>12780</v>
      </c>
      <c r="I180" s="169">
        <v>2229</v>
      </c>
    </row>
    <row r="182" spans="1:9" x14ac:dyDescent="0.3">
      <c r="A182" t="s">
        <v>502</v>
      </c>
    </row>
    <row r="183" spans="1:9" x14ac:dyDescent="0.3">
      <c r="B183" s="168" t="s">
        <v>189</v>
      </c>
    </row>
    <row r="184" spans="1:9" x14ac:dyDescent="0.3">
      <c r="A184" s="168" t="s">
        <v>187</v>
      </c>
      <c r="B184" t="s">
        <v>386</v>
      </c>
      <c r="C184" t="s">
        <v>387</v>
      </c>
      <c r="D184" t="s">
        <v>385</v>
      </c>
    </row>
    <row r="185" spans="1:9" x14ac:dyDescent="0.3">
      <c r="A185" s="47">
        <v>1</v>
      </c>
      <c r="B185" s="169">
        <v>6989</v>
      </c>
      <c r="C185" s="169">
        <v>6500</v>
      </c>
      <c r="D185" s="169">
        <v>1054</v>
      </c>
    </row>
    <row r="186" spans="1:9" x14ac:dyDescent="0.3">
      <c r="A186" s="47">
        <v>10</v>
      </c>
      <c r="B186" s="169">
        <v>5621</v>
      </c>
      <c r="C186" s="169">
        <v>4985</v>
      </c>
      <c r="D186" s="169">
        <v>570</v>
      </c>
    </row>
    <row r="187" spans="1:9" x14ac:dyDescent="0.3">
      <c r="A187" s="47">
        <v>11</v>
      </c>
      <c r="B187" s="169">
        <v>5630</v>
      </c>
      <c r="C187" s="169">
        <v>4233</v>
      </c>
      <c r="D187" s="169">
        <v>549</v>
      </c>
    </row>
    <row r="188" spans="1:9" x14ac:dyDescent="0.3">
      <c r="A188" s="47">
        <v>12</v>
      </c>
      <c r="B188" s="169">
        <v>10544</v>
      </c>
      <c r="C188" s="169">
        <v>9751</v>
      </c>
      <c r="D188" s="169">
        <v>1498</v>
      </c>
    </row>
    <row r="189" spans="1:9" x14ac:dyDescent="0.3">
      <c r="A189" s="47">
        <v>13</v>
      </c>
      <c r="B189" s="169">
        <v>673</v>
      </c>
      <c r="C189" s="169">
        <v>560</v>
      </c>
      <c r="D189" s="169">
        <v>32</v>
      </c>
    </row>
    <row r="190" spans="1:9" x14ac:dyDescent="0.3">
      <c r="A190" s="47">
        <v>2</v>
      </c>
      <c r="B190" s="169">
        <v>12490</v>
      </c>
      <c r="C190" s="169">
        <v>11194</v>
      </c>
      <c r="D190" s="169">
        <v>1283</v>
      </c>
    </row>
    <row r="191" spans="1:9" x14ac:dyDescent="0.3">
      <c r="A191" s="47">
        <v>3</v>
      </c>
      <c r="B191" s="169">
        <v>6492</v>
      </c>
      <c r="C191" s="169">
        <v>5841</v>
      </c>
      <c r="D191" s="169">
        <v>956</v>
      </c>
    </row>
    <row r="192" spans="1:9" x14ac:dyDescent="0.3">
      <c r="A192" s="47">
        <v>4</v>
      </c>
      <c r="B192" s="169">
        <v>17803</v>
      </c>
      <c r="C192" s="169">
        <v>16589</v>
      </c>
      <c r="D192" s="169">
        <v>3046</v>
      </c>
    </row>
    <row r="193" spans="1:5" x14ac:dyDescent="0.3">
      <c r="A193" s="47">
        <v>5</v>
      </c>
      <c r="B193" s="169">
        <v>27577</v>
      </c>
      <c r="C193" s="169">
        <v>25573</v>
      </c>
      <c r="D193" s="169">
        <v>7399</v>
      </c>
    </row>
    <row r="194" spans="1:5" x14ac:dyDescent="0.3">
      <c r="A194" s="47">
        <v>6</v>
      </c>
      <c r="B194" s="169">
        <v>13348</v>
      </c>
      <c r="C194" s="169">
        <v>12306</v>
      </c>
      <c r="D194" s="169">
        <v>1587</v>
      </c>
    </row>
    <row r="195" spans="1:5" x14ac:dyDescent="0.3">
      <c r="A195" s="47">
        <v>7</v>
      </c>
      <c r="B195" s="169">
        <v>9860</v>
      </c>
      <c r="C195" s="169">
        <v>8926</v>
      </c>
      <c r="D195" s="169">
        <v>1089</v>
      </c>
    </row>
    <row r="196" spans="1:5" x14ac:dyDescent="0.3">
      <c r="A196" s="47">
        <v>8</v>
      </c>
      <c r="B196" s="169">
        <v>10151</v>
      </c>
      <c r="C196" s="169">
        <v>7348</v>
      </c>
      <c r="D196" s="169">
        <v>673</v>
      </c>
    </row>
    <row r="197" spans="1:5" x14ac:dyDescent="0.3">
      <c r="A197" s="47">
        <v>9</v>
      </c>
      <c r="B197" s="169">
        <v>9989</v>
      </c>
      <c r="C197" s="169">
        <v>6802</v>
      </c>
      <c r="D197" s="169">
        <v>628</v>
      </c>
    </row>
    <row r="198" spans="1:5" x14ac:dyDescent="0.3">
      <c r="A198" s="47" t="s">
        <v>188</v>
      </c>
      <c r="B198" s="169">
        <v>137167</v>
      </c>
      <c r="C198" s="169">
        <v>120608</v>
      </c>
      <c r="D198" s="169">
        <v>20364</v>
      </c>
    </row>
    <row r="201" spans="1:5" x14ac:dyDescent="0.3">
      <c r="A201" t="s">
        <v>503</v>
      </c>
      <c r="D201" t="s">
        <v>504</v>
      </c>
    </row>
    <row r="202" spans="1:5" x14ac:dyDescent="0.3">
      <c r="A202" s="169">
        <v>1</v>
      </c>
      <c r="B202">
        <v>11.907478706087232</v>
      </c>
      <c r="D202" s="169">
        <v>1</v>
      </c>
      <c r="E202">
        <v>12.766785187439131</v>
      </c>
    </row>
    <row r="203" spans="1:5" x14ac:dyDescent="0.3">
      <c r="A203" s="169">
        <v>10</v>
      </c>
      <c r="B203">
        <v>11.756116315136492</v>
      </c>
      <c r="D203" s="169">
        <v>10</v>
      </c>
      <c r="E203">
        <v>11.949746512452638</v>
      </c>
    </row>
    <row r="204" spans="1:5" x14ac:dyDescent="0.3">
      <c r="A204" s="169">
        <v>11</v>
      </c>
      <c r="B204">
        <v>11.754595352564115</v>
      </c>
      <c r="D204" s="169">
        <v>11</v>
      </c>
      <c r="E204">
        <v>14.757991782504147</v>
      </c>
    </row>
    <row r="205" spans="1:5" x14ac:dyDescent="0.3">
      <c r="A205" s="169">
        <v>12</v>
      </c>
      <c r="B205">
        <v>12.471864449330528</v>
      </c>
      <c r="D205" s="169">
        <v>12</v>
      </c>
      <c r="E205">
        <v>12.094048051213472</v>
      </c>
    </row>
    <row r="206" spans="1:5" x14ac:dyDescent="0.3">
      <c r="A206" s="169">
        <v>13</v>
      </c>
      <c r="B206">
        <v>12.502831196581196</v>
      </c>
      <c r="D206" s="169">
        <v>13</v>
      </c>
      <c r="E206">
        <v>10.386924145299146</v>
      </c>
    </row>
    <row r="207" spans="1:5" x14ac:dyDescent="0.3">
      <c r="A207" s="169">
        <v>2</v>
      </c>
      <c r="B207">
        <v>12.189182564102577</v>
      </c>
      <c r="D207" s="169">
        <v>2</v>
      </c>
      <c r="E207">
        <v>11.314328976733133</v>
      </c>
    </row>
    <row r="208" spans="1:5" x14ac:dyDescent="0.3">
      <c r="A208" s="169">
        <v>3</v>
      </c>
      <c r="B208">
        <v>12.677233606557371</v>
      </c>
      <c r="D208" s="169">
        <v>3</v>
      </c>
      <c r="E208">
        <v>12.190543845495251</v>
      </c>
    </row>
    <row r="209" spans="1:5" x14ac:dyDescent="0.3">
      <c r="A209" s="169">
        <v>4</v>
      </c>
      <c r="B209">
        <v>14.399165384615392</v>
      </c>
      <c r="D209" s="169">
        <v>4</v>
      </c>
      <c r="E209">
        <v>15.226210693771819</v>
      </c>
    </row>
    <row r="210" spans="1:5" x14ac:dyDescent="0.3">
      <c r="A210" s="169">
        <v>5</v>
      </c>
      <c r="B210">
        <v>14.416474637681146</v>
      </c>
      <c r="D210" s="169">
        <v>5</v>
      </c>
      <c r="E210">
        <v>15.462397827582283</v>
      </c>
    </row>
    <row r="211" spans="1:5" x14ac:dyDescent="0.3">
      <c r="A211" s="169">
        <v>6</v>
      </c>
      <c r="B211">
        <v>14.990940581854044</v>
      </c>
      <c r="D211" s="169">
        <v>6</v>
      </c>
      <c r="E211">
        <v>15.471695597165976</v>
      </c>
    </row>
    <row r="212" spans="1:5" x14ac:dyDescent="0.3">
      <c r="A212" s="169">
        <v>7</v>
      </c>
      <c r="B212">
        <v>13.577947023684759</v>
      </c>
      <c r="D212" s="169">
        <v>7</v>
      </c>
      <c r="E212">
        <v>13.123784348739473</v>
      </c>
    </row>
    <row r="213" spans="1:5" x14ac:dyDescent="0.3">
      <c r="A213" s="169">
        <v>8</v>
      </c>
      <c r="B213">
        <v>12.246695541335908</v>
      </c>
      <c r="D213" s="169">
        <v>8</v>
      </c>
      <c r="E213">
        <v>11.957467606100741</v>
      </c>
    </row>
    <row r="214" spans="1:5" x14ac:dyDescent="0.3">
      <c r="A214" s="169">
        <v>9</v>
      </c>
      <c r="B214">
        <v>10.263112652185939</v>
      </c>
      <c r="D214" s="169">
        <v>9</v>
      </c>
      <c r="E214">
        <v>11.222673897058828</v>
      </c>
    </row>
    <row r="215" spans="1:5" x14ac:dyDescent="0.3">
      <c r="A215">
        <v>0</v>
      </c>
      <c r="B215">
        <v>12.757624882514239</v>
      </c>
      <c r="D215">
        <v>0</v>
      </c>
      <c r="E215">
        <v>13.219881678574541</v>
      </c>
    </row>
  </sheetData>
  <pageMargins left="0.7" right="0.7" top="0.75" bottom="0.75" header="0.3" footer="0.3"/>
  <pageSetup orientation="portrait" r:id="rId1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M73"/>
  <sheetViews>
    <sheetView workbookViewId="0">
      <selection activeCell="L34" sqref="L34"/>
    </sheetView>
  </sheetViews>
  <sheetFormatPr defaultColWidth="8.796875" defaultRowHeight="12" x14ac:dyDescent="0.15"/>
  <cols>
    <col min="1" max="1" width="28.296875" style="462" bestFit="1" customWidth="1"/>
    <col min="2" max="2" width="14.8984375" style="462" bestFit="1" customWidth="1"/>
    <col min="3" max="12" width="9.19921875" style="462" customWidth="1"/>
    <col min="13" max="13" width="11.09765625" style="462" customWidth="1"/>
    <col min="14" max="14" width="9.19921875" style="462" customWidth="1"/>
    <col min="15" max="15" width="12.8984375" style="462" customWidth="1"/>
    <col min="16" max="16" width="9.19921875" style="462" customWidth="1"/>
    <col min="17" max="17" width="12.8984375" style="462" customWidth="1"/>
    <col min="18" max="18" width="9.19921875" style="462" customWidth="1"/>
    <col min="19" max="19" width="12.8984375" style="462" customWidth="1"/>
    <col min="20" max="20" width="9.19921875" style="462" customWidth="1"/>
    <col min="21" max="21" width="12.8984375" style="462" customWidth="1"/>
    <col min="22" max="22" width="9.19921875" style="462" customWidth="1"/>
    <col min="23" max="23" width="12.8984375" style="462" customWidth="1"/>
    <col min="24" max="24" width="11.09765625" style="462" customWidth="1"/>
    <col min="25" max="25" width="13.796875" style="462" customWidth="1"/>
    <col min="26" max="26" width="17.59765625" style="462" bestFit="1" customWidth="1"/>
    <col min="27" max="27" width="14.796875" style="462" bestFit="1" customWidth="1"/>
    <col min="28" max="28" width="16.59765625" style="462" bestFit="1" customWidth="1"/>
    <col min="29" max="29" width="13.796875" style="462" customWidth="1"/>
    <col min="30" max="30" width="17.59765625" style="462" bestFit="1" customWidth="1"/>
    <col min="31" max="31" width="14.796875" style="462" customWidth="1"/>
    <col min="32" max="32" width="16.59765625" style="462" customWidth="1"/>
    <col min="33" max="33" width="13.796875" style="462" customWidth="1"/>
    <col min="34" max="34" width="17.59765625" style="462" bestFit="1" customWidth="1"/>
    <col min="35" max="35" width="14.796875" style="462" customWidth="1"/>
    <col min="36" max="36" width="16.59765625" style="462" customWidth="1"/>
    <col min="37" max="37" width="13.796875" style="462" customWidth="1"/>
    <col min="38" max="38" width="17.59765625" style="462" bestFit="1" customWidth="1"/>
    <col min="39" max="39" width="14.796875" style="462" bestFit="1" customWidth="1"/>
    <col min="40" max="40" width="16.59765625" style="462" bestFit="1" customWidth="1"/>
    <col min="41" max="41" width="13.796875" style="462" bestFit="1" customWidth="1"/>
    <col min="42" max="42" width="17.59765625" style="462" bestFit="1" customWidth="1"/>
    <col min="43" max="43" width="14.796875" style="462" bestFit="1" customWidth="1"/>
    <col min="44" max="44" width="16.59765625" style="462" bestFit="1" customWidth="1"/>
    <col min="45" max="45" width="13.796875" style="462" bestFit="1" customWidth="1"/>
    <col min="46" max="46" width="23.09765625" style="462" bestFit="1" customWidth="1"/>
    <col min="47" max="47" width="20.296875" style="462" bestFit="1" customWidth="1"/>
    <col min="48" max="48" width="22.19921875" style="462" bestFit="1" customWidth="1"/>
    <col min="49" max="49" width="19.3984375" style="462" bestFit="1" customWidth="1"/>
    <col min="50" max="16384" width="8.796875" style="462"/>
  </cols>
  <sheetData>
    <row r="3" spans="1:13" x14ac:dyDescent="0.15">
      <c r="B3" s="467" t="s">
        <v>318</v>
      </c>
    </row>
    <row r="4" spans="1:13" x14ac:dyDescent="0.15">
      <c r="A4" s="467" t="s">
        <v>187</v>
      </c>
      <c r="B4" s="462" t="s">
        <v>479</v>
      </c>
      <c r="C4" s="462" t="s">
        <v>480</v>
      </c>
      <c r="D4" s="462" t="s">
        <v>481</v>
      </c>
      <c r="E4" s="462" t="s">
        <v>482</v>
      </c>
      <c r="F4" s="462" t="s">
        <v>483</v>
      </c>
      <c r="G4" s="462" t="s">
        <v>484</v>
      </c>
      <c r="H4" s="462" t="s">
        <v>485</v>
      </c>
      <c r="I4" s="462" t="s">
        <v>486</v>
      </c>
      <c r="J4" s="462" t="s">
        <v>487</v>
      </c>
      <c r="K4" s="462" t="s">
        <v>488</v>
      </c>
      <c r="L4" s="462" t="s">
        <v>489</v>
      </c>
      <c r="M4" s="462" t="s">
        <v>188</v>
      </c>
    </row>
    <row r="5" spans="1:13" x14ac:dyDescent="0.15">
      <c r="A5" s="464">
        <v>0</v>
      </c>
      <c r="B5" s="465"/>
      <c r="C5" s="465"/>
      <c r="D5" s="465"/>
      <c r="E5" s="465"/>
      <c r="F5" s="465"/>
      <c r="G5" s="465"/>
      <c r="H5" s="465"/>
      <c r="I5" s="465"/>
      <c r="J5" s="465"/>
      <c r="K5" s="465"/>
      <c r="L5" s="465"/>
      <c r="M5" s="465"/>
    </row>
    <row r="6" spans="1:13" x14ac:dyDescent="0.15">
      <c r="A6" s="466" t="s">
        <v>135</v>
      </c>
      <c r="B6" s="465">
        <v>3469227</v>
      </c>
      <c r="C6" s="465">
        <v>3456760</v>
      </c>
      <c r="D6" s="465">
        <v>3501990</v>
      </c>
      <c r="E6" s="465">
        <v>3513173</v>
      </c>
      <c r="F6" s="465">
        <v>3532173</v>
      </c>
      <c r="G6" s="465">
        <v>3539823</v>
      </c>
      <c r="H6" s="465">
        <v>3548887</v>
      </c>
      <c r="I6" s="465">
        <v>3516687</v>
      </c>
      <c r="J6" s="465">
        <v>3525040</v>
      </c>
      <c r="K6" s="465">
        <v>3537857</v>
      </c>
      <c r="L6" s="465">
        <v>3536117</v>
      </c>
      <c r="M6" s="465">
        <v>38677734</v>
      </c>
    </row>
    <row r="7" spans="1:13" x14ac:dyDescent="0.15">
      <c r="A7" s="466" t="s">
        <v>475</v>
      </c>
      <c r="B7" s="465">
        <v>3210827</v>
      </c>
      <c r="C7" s="465">
        <v>3213507</v>
      </c>
      <c r="D7" s="465">
        <v>1080377</v>
      </c>
      <c r="E7" s="465">
        <v>3178390</v>
      </c>
      <c r="F7" s="465">
        <v>3144263</v>
      </c>
      <c r="G7" s="465">
        <v>3203803</v>
      </c>
      <c r="H7" s="465">
        <v>3214420</v>
      </c>
      <c r="I7" s="465">
        <v>3205983</v>
      </c>
      <c r="J7" s="465">
        <v>3148303</v>
      </c>
      <c r="K7" s="465">
        <v>3157260</v>
      </c>
      <c r="L7" s="465">
        <v>3177207</v>
      </c>
      <c r="M7" s="465">
        <v>32934340</v>
      </c>
    </row>
    <row r="8" spans="1:13" x14ac:dyDescent="0.15">
      <c r="A8" s="466" t="s">
        <v>202</v>
      </c>
      <c r="B8" s="465">
        <v>321347</v>
      </c>
      <c r="C8" s="465">
        <v>326317</v>
      </c>
      <c r="D8" s="465">
        <v>329033</v>
      </c>
      <c r="E8" s="465">
        <v>338297</v>
      </c>
      <c r="F8" s="465">
        <v>380777</v>
      </c>
      <c r="G8" s="465">
        <v>334053</v>
      </c>
      <c r="H8" s="465">
        <v>321697</v>
      </c>
      <c r="I8" s="465">
        <v>321513</v>
      </c>
      <c r="J8" s="465">
        <v>344730</v>
      </c>
      <c r="K8" s="465">
        <v>316673</v>
      </c>
      <c r="L8" s="465">
        <v>307217</v>
      </c>
      <c r="M8" s="465">
        <v>3641654</v>
      </c>
    </row>
    <row r="9" spans="1:13" x14ac:dyDescent="0.15">
      <c r="A9" s="466" t="s">
        <v>440</v>
      </c>
      <c r="B9" s="463">
        <v>9.2627838996986941E-2</v>
      </c>
      <c r="C9" s="463">
        <v>9.4399669054258895E-2</v>
      </c>
      <c r="D9" s="463">
        <v>9.3956007869811162E-2</v>
      </c>
      <c r="E9" s="463">
        <v>9.6293863126011722E-2</v>
      </c>
      <c r="F9" s="463">
        <v>0.10780247739847397</v>
      </c>
      <c r="G9" s="463">
        <v>9.4369972735924929E-2</v>
      </c>
      <c r="H9" s="463">
        <v>9.0647293080901137E-2</v>
      </c>
      <c r="I9" s="463">
        <v>9.1424969012027513E-2</v>
      </c>
      <c r="J9" s="463">
        <v>9.7794634954496973E-2</v>
      </c>
      <c r="K9" s="463">
        <v>8.9509836039161558E-2</v>
      </c>
      <c r="L9" s="463">
        <v>8.6879761048630461E-2</v>
      </c>
      <c r="M9" s="463">
        <v>1.0357063233166852</v>
      </c>
    </row>
    <row r="10" spans="1:13" x14ac:dyDescent="0.15">
      <c r="A10" s="464">
        <v>1</v>
      </c>
      <c r="B10" s="465"/>
      <c r="C10" s="465"/>
      <c r="D10" s="465"/>
      <c r="E10" s="465"/>
      <c r="F10" s="465"/>
      <c r="G10" s="465"/>
      <c r="H10" s="465"/>
      <c r="I10" s="465"/>
      <c r="J10" s="465"/>
      <c r="K10" s="465"/>
      <c r="L10" s="465"/>
      <c r="M10" s="465"/>
    </row>
    <row r="11" spans="1:13" x14ac:dyDescent="0.15">
      <c r="A11" s="466" t="s">
        <v>135</v>
      </c>
      <c r="B11" s="465">
        <v>170807</v>
      </c>
      <c r="C11" s="465">
        <v>168997</v>
      </c>
      <c r="D11" s="465">
        <v>167483</v>
      </c>
      <c r="E11" s="465">
        <v>167833</v>
      </c>
      <c r="F11" s="465">
        <v>169233</v>
      </c>
      <c r="G11" s="465">
        <v>168543</v>
      </c>
      <c r="H11" s="465">
        <v>167310</v>
      </c>
      <c r="I11" s="465">
        <v>167893</v>
      </c>
      <c r="J11" s="465">
        <v>166703</v>
      </c>
      <c r="K11" s="465">
        <v>164280</v>
      </c>
      <c r="L11" s="465">
        <v>162233</v>
      </c>
      <c r="M11" s="465">
        <v>1841315</v>
      </c>
    </row>
    <row r="12" spans="1:13" x14ac:dyDescent="0.15">
      <c r="A12" s="466" t="s">
        <v>475</v>
      </c>
      <c r="B12" s="465">
        <v>156787</v>
      </c>
      <c r="C12" s="465">
        <v>154870</v>
      </c>
      <c r="D12" s="465">
        <v>153820</v>
      </c>
      <c r="E12" s="465">
        <v>154167</v>
      </c>
      <c r="F12" s="465">
        <v>152957</v>
      </c>
      <c r="G12" s="465">
        <v>154503</v>
      </c>
      <c r="H12" s="465">
        <v>153883</v>
      </c>
      <c r="I12" s="465">
        <v>154707</v>
      </c>
      <c r="J12" s="465">
        <v>151840</v>
      </c>
      <c r="K12" s="465">
        <v>150707</v>
      </c>
      <c r="L12" s="465">
        <v>149200</v>
      </c>
      <c r="M12" s="465">
        <v>1687441</v>
      </c>
    </row>
    <row r="13" spans="1:13" x14ac:dyDescent="0.15">
      <c r="A13" s="466" t="s">
        <v>202</v>
      </c>
      <c r="B13" s="465">
        <v>14020</v>
      </c>
      <c r="C13" s="465">
        <v>14127</v>
      </c>
      <c r="D13" s="465">
        <v>13663</v>
      </c>
      <c r="E13" s="465">
        <v>13667</v>
      </c>
      <c r="F13" s="465">
        <v>16277</v>
      </c>
      <c r="G13" s="465">
        <v>14040</v>
      </c>
      <c r="H13" s="465">
        <v>13427</v>
      </c>
      <c r="I13" s="465">
        <v>13187</v>
      </c>
      <c r="J13" s="465">
        <v>14863</v>
      </c>
      <c r="K13" s="465">
        <v>13573</v>
      </c>
      <c r="L13" s="465">
        <v>13033</v>
      </c>
      <c r="M13" s="465">
        <v>153877</v>
      </c>
    </row>
    <row r="14" spans="1:13" x14ac:dyDescent="0.15">
      <c r="A14" s="466" t="s">
        <v>440</v>
      </c>
      <c r="B14" s="463">
        <v>8.2080945160327157E-2</v>
      </c>
      <c r="C14" s="463">
        <v>8.3593199879287802E-2</v>
      </c>
      <c r="D14" s="463">
        <v>8.1578428855465929E-2</v>
      </c>
      <c r="E14" s="463">
        <v>8.1432137898982918E-2</v>
      </c>
      <c r="F14" s="463">
        <v>9.6181004886753768E-2</v>
      </c>
      <c r="G14" s="463">
        <v>8.3302184012388536E-2</v>
      </c>
      <c r="H14" s="463">
        <v>8.025222640607256E-2</v>
      </c>
      <c r="I14" s="463">
        <v>7.8544072712977905E-2</v>
      </c>
      <c r="J14" s="463">
        <v>8.9158563433171564E-2</v>
      </c>
      <c r="K14" s="463">
        <v>8.2621134648161676E-2</v>
      </c>
      <c r="L14" s="463">
        <v>8.0335073628669873E-2</v>
      </c>
      <c r="M14" s="463">
        <v>0.9190789715222597</v>
      </c>
    </row>
    <row r="15" spans="1:13" x14ac:dyDescent="0.15">
      <c r="A15" s="464">
        <v>2</v>
      </c>
      <c r="B15" s="465"/>
      <c r="C15" s="465"/>
      <c r="D15" s="465"/>
      <c r="E15" s="465"/>
      <c r="F15" s="465"/>
      <c r="G15" s="465"/>
      <c r="H15" s="465"/>
      <c r="I15" s="465"/>
      <c r="J15" s="465"/>
      <c r="K15" s="465"/>
      <c r="L15" s="465"/>
      <c r="M15" s="465"/>
    </row>
    <row r="16" spans="1:13" x14ac:dyDescent="0.15">
      <c r="A16" s="466" t="s">
        <v>135</v>
      </c>
      <c r="B16" s="465">
        <v>232750</v>
      </c>
      <c r="C16" s="465">
        <v>230537</v>
      </c>
      <c r="D16" s="465">
        <v>226713</v>
      </c>
      <c r="E16" s="465">
        <v>228827</v>
      </c>
      <c r="F16" s="465">
        <v>229957</v>
      </c>
      <c r="G16" s="465">
        <v>228663</v>
      </c>
      <c r="H16" s="465">
        <v>226110</v>
      </c>
      <c r="I16" s="465">
        <v>227483</v>
      </c>
      <c r="J16" s="465">
        <v>224743</v>
      </c>
      <c r="K16" s="465">
        <v>223237</v>
      </c>
      <c r="L16" s="465">
        <v>220337</v>
      </c>
      <c r="M16" s="465">
        <v>2499357</v>
      </c>
    </row>
    <row r="17" spans="1:13" x14ac:dyDescent="0.15">
      <c r="A17" s="466" t="s">
        <v>475</v>
      </c>
      <c r="B17" s="465">
        <v>209623</v>
      </c>
      <c r="C17" s="465">
        <v>207590</v>
      </c>
      <c r="D17" s="465">
        <v>204843</v>
      </c>
      <c r="E17" s="465">
        <v>206177</v>
      </c>
      <c r="F17" s="465">
        <v>203117</v>
      </c>
      <c r="G17" s="465">
        <v>205760</v>
      </c>
      <c r="H17" s="465">
        <v>204627</v>
      </c>
      <c r="I17" s="465">
        <v>206053</v>
      </c>
      <c r="J17" s="465">
        <v>200700</v>
      </c>
      <c r="K17" s="465">
        <v>201337</v>
      </c>
      <c r="L17" s="465">
        <v>199243</v>
      </c>
      <c r="M17" s="465">
        <v>2249070</v>
      </c>
    </row>
    <row r="18" spans="1:13" x14ac:dyDescent="0.15">
      <c r="A18" s="466" t="s">
        <v>202</v>
      </c>
      <c r="B18" s="465">
        <v>23127</v>
      </c>
      <c r="C18" s="465">
        <v>22947</v>
      </c>
      <c r="D18" s="465">
        <v>21870</v>
      </c>
      <c r="E18" s="465">
        <v>22650</v>
      </c>
      <c r="F18" s="465">
        <v>26840</v>
      </c>
      <c r="G18" s="465">
        <v>22903</v>
      </c>
      <c r="H18" s="465">
        <v>21483</v>
      </c>
      <c r="I18" s="465">
        <v>21430</v>
      </c>
      <c r="J18" s="465">
        <v>24043</v>
      </c>
      <c r="K18" s="465">
        <v>21900</v>
      </c>
      <c r="L18" s="465">
        <v>21093</v>
      </c>
      <c r="M18" s="465">
        <v>250286</v>
      </c>
    </row>
    <row r="19" spans="1:13" x14ac:dyDescent="0.15">
      <c r="A19" s="466" t="s">
        <v>440</v>
      </c>
      <c r="B19" s="463">
        <v>9.9364124597207309E-2</v>
      </c>
      <c r="C19" s="463">
        <v>9.9537167569630908E-2</v>
      </c>
      <c r="D19" s="463">
        <v>9.646557541914226E-2</v>
      </c>
      <c r="E19" s="463">
        <v>9.898307454976904E-2</v>
      </c>
      <c r="F19" s="463">
        <v>0.11671747326674117</v>
      </c>
      <c r="G19" s="463">
        <v>0.10016049820040847</v>
      </c>
      <c r="H19" s="463">
        <v>9.5011277696696303E-2</v>
      </c>
      <c r="I19" s="463">
        <v>9.4204841680477228E-2</v>
      </c>
      <c r="J19" s="463">
        <v>0.10697997267990549</v>
      </c>
      <c r="K19" s="463">
        <v>9.8102017138735967E-2</v>
      </c>
      <c r="L19" s="463">
        <v>9.573063080644649E-2</v>
      </c>
      <c r="M19" s="463">
        <v>1.1012566536051607</v>
      </c>
    </row>
    <row r="20" spans="1:13" x14ac:dyDescent="0.15">
      <c r="A20" s="464">
        <v>3</v>
      </c>
      <c r="B20" s="465"/>
      <c r="C20" s="465"/>
      <c r="D20" s="465"/>
      <c r="E20" s="465"/>
      <c r="F20" s="465"/>
      <c r="G20" s="465"/>
      <c r="H20" s="465"/>
      <c r="I20" s="465"/>
      <c r="J20" s="465"/>
      <c r="K20" s="465"/>
      <c r="L20" s="465"/>
      <c r="M20" s="465"/>
    </row>
    <row r="21" spans="1:13" x14ac:dyDescent="0.15">
      <c r="A21" s="466" t="s">
        <v>135</v>
      </c>
      <c r="B21" s="465">
        <v>209373</v>
      </c>
      <c r="C21" s="465">
        <v>208673</v>
      </c>
      <c r="D21" s="465">
        <v>207490</v>
      </c>
      <c r="E21" s="465">
        <v>205403</v>
      </c>
      <c r="F21" s="465">
        <v>206433</v>
      </c>
      <c r="G21" s="465">
        <v>207553</v>
      </c>
      <c r="H21" s="465">
        <v>207003</v>
      </c>
      <c r="I21" s="465">
        <v>205730</v>
      </c>
      <c r="J21" s="465">
        <v>203350</v>
      </c>
      <c r="K21" s="465">
        <v>201800</v>
      </c>
      <c r="L21" s="465">
        <v>201327</v>
      </c>
      <c r="M21" s="465">
        <v>2264135</v>
      </c>
    </row>
    <row r="22" spans="1:13" x14ac:dyDescent="0.15">
      <c r="A22" s="466" t="s">
        <v>475</v>
      </c>
      <c r="B22" s="465">
        <v>191343</v>
      </c>
      <c r="C22" s="465">
        <v>190067</v>
      </c>
      <c r="D22" s="465">
        <v>188797</v>
      </c>
      <c r="E22" s="465">
        <v>186587</v>
      </c>
      <c r="F22" s="465">
        <v>184077</v>
      </c>
      <c r="G22" s="465">
        <v>188673</v>
      </c>
      <c r="H22" s="465">
        <v>189143</v>
      </c>
      <c r="I22" s="465">
        <v>188077</v>
      </c>
      <c r="J22" s="465">
        <v>183250</v>
      </c>
      <c r="K22" s="465">
        <v>184030</v>
      </c>
      <c r="L22" s="465">
        <v>184137</v>
      </c>
      <c r="M22" s="465">
        <v>2058181</v>
      </c>
    </row>
    <row r="23" spans="1:13" x14ac:dyDescent="0.15">
      <c r="A23" s="466" t="s">
        <v>202</v>
      </c>
      <c r="B23" s="465">
        <v>18030</v>
      </c>
      <c r="C23" s="465">
        <v>18607</v>
      </c>
      <c r="D23" s="465">
        <v>18693</v>
      </c>
      <c r="E23" s="465">
        <v>18817</v>
      </c>
      <c r="F23" s="465">
        <v>22357</v>
      </c>
      <c r="G23" s="465">
        <v>18880</v>
      </c>
      <c r="H23" s="465">
        <v>17860</v>
      </c>
      <c r="I23" s="465">
        <v>17653</v>
      </c>
      <c r="J23" s="465">
        <v>20100</v>
      </c>
      <c r="K23" s="465">
        <v>17770</v>
      </c>
      <c r="L23" s="465">
        <v>17190</v>
      </c>
      <c r="M23" s="465">
        <v>205957</v>
      </c>
    </row>
    <row r="24" spans="1:13" x14ac:dyDescent="0.15">
      <c r="A24" s="466" t="s">
        <v>440</v>
      </c>
      <c r="B24" s="463">
        <v>8.6114255419753261E-2</v>
      </c>
      <c r="C24" s="463">
        <v>8.9168220133893694E-2</v>
      </c>
      <c r="D24" s="463">
        <v>9.0091088727167576E-2</v>
      </c>
      <c r="E24" s="463">
        <v>9.1610151750461291E-2</v>
      </c>
      <c r="F24" s="463">
        <v>0.10830148280555919</v>
      </c>
      <c r="G24" s="463">
        <v>9.0964717445664478E-2</v>
      </c>
      <c r="H24" s="463">
        <v>8.6278942817253859E-2</v>
      </c>
      <c r="I24" s="463">
        <v>8.5806639770573082E-2</v>
      </c>
      <c r="J24" s="463">
        <v>9.8844357019916396E-2</v>
      </c>
      <c r="K24" s="463">
        <v>8.8057482656095143E-2</v>
      </c>
      <c r="L24" s="463">
        <v>8.5383480606178008E-2</v>
      </c>
      <c r="M24" s="463">
        <v>1.0006208191525159</v>
      </c>
    </row>
    <row r="25" spans="1:13" x14ac:dyDescent="0.15">
      <c r="A25" s="464">
        <v>4</v>
      </c>
      <c r="B25" s="465"/>
      <c r="C25" s="465"/>
      <c r="D25" s="465"/>
      <c r="E25" s="465"/>
      <c r="F25" s="465"/>
      <c r="G25" s="465"/>
      <c r="H25" s="465"/>
      <c r="I25" s="465"/>
      <c r="J25" s="465"/>
      <c r="K25" s="465"/>
      <c r="L25" s="465"/>
      <c r="M25" s="465"/>
    </row>
    <row r="26" spans="1:13" x14ac:dyDescent="0.15">
      <c r="A26" s="466" t="s">
        <v>135</v>
      </c>
      <c r="B26" s="465">
        <v>382303</v>
      </c>
      <c r="C26" s="465">
        <v>384130</v>
      </c>
      <c r="D26" s="465">
        <v>383680</v>
      </c>
      <c r="E26" s="465">
        <v>382053</v>
      </c>
      <c r="F26" s="465">
        <v>383070</v>
      </c>
      <c r="G26" s="465">
        <v>383340</v>
      </c>
      <c r="H26" s="465">
        <v>379930</v>
      </c>
      <c r="I26" s="465">
        <v>379867</v>
      </c>
      <c r="J26" s="465">
        <v>380653</v>
      </c>
      <c r="K26" s="465">
        <v>375313</v>
      </c>
      <c r="L26" s="465">
        <v>379140</v>
      </c>
      <c r="M26" s="465">
        <v>4193479</v>
      </c>
    </row>
    <row r="27" spans="1:13" x14ac:dyDescent="0.15">
      <c r="A27" s="466" t="s">
        <v>475</v>
      </c>
      <c r="B27" s="465">
        <v>346400</v>
      </c>
      <c r="C27" s="465">
        <v>346650</v>
      </c>
      <c r="D27" s="465">
        <v>345043</v>
      </c>
      <c r="E27" s="465">
        <v>341730</v>
      </c>
      <c r="F27" s="465">
        <v>341213</v>
      </c>
      <c r="G27" s="465">
        <v>344700</v>
      </c>
      <c r="H27" s="465">
        <v>342210</v>
      </c>
      <c r="I27" s="465">
        <v>341647</v>
      </c>
      <c r="J27" s="465">
        <v>341623</v>
      </c>
      <c r="K27" s="465">
        <v>339247</v>
      </c>
      <c r="L27" s="465">
        <v>343567</v>
      </c>
      <c r="M27" s="465">
        <v>3774030</v>
      </c>
    </row>
    <row r="28" spans="1:13" x14ac:dyDescent="0.15">
      <c r="A28" s="466" t="s">
        <v>202</v>
      </c>
      <c r="B28" s="465">
        <v>35903</v>
      </c>
      <c r="C28" s="465">
        <v>37480</v>
      </c>
      <c r="D28" s="465">
        <v>38637</v>
      </c>
      <c r="E28" s="465">
        <v>40323</v>
      </c>
      <c r="F28" s="465">
        <v>41857</v>
      </c>
      <c r="G28" s="465">
        <v>38640</v>
      </c>
      <c r="H28" s="465">
        <v>37720</v>
      </c>
      <c r="I28" s="465">
        <v>38220</v>
      </c>
      <c r="J28" s="465">
        <v>39030</v>
      </c>
      <c r="K28" s="465">
        <v>36067</v>
      </c>
      <c r="L28" s="465">
        <v>35573</v>
      </c>
      <c r="M28" s="465">
        <v>419450</v>
      </c>
    </row>
    <row r="29" spans="1:13" x14ac:dyDescent="0.15">
      <c r="A29" s="466" t="s">
        <v>440</v>
      </c>
      <c r="B29" s="463">
        <v>9.3912420253045359E-2</v>
      </c>
      <c r="C29" s="463">
        <v>9.7571134772082374E-2</v>
      </c>
      <c r="D29" s="463">
        <v>0.10070110508757298</v>
      </c>
      <c r="E29" s="463">
        <v>0.10554294822969588</v>
      </c>
      <c r="F29" s="463">
        <v>0.10926723575325659</v>
      </c>
      <c r="G29" s="463">
        <v>0.10079824698700893</v>
      </c>
      <c r="H29" s="463">
        <v>9.9281446582265148E-2</v>
      </c>
      <c r="I29" s="463">
        <v>0.10061416232523489</v>
      </c>
      <c r="J29" s="463">
        <v>0.10253432916593327</v>
      </c>
      <c r="K29" s="463">
        <v>9.6098456488317746E-2</v>
      </c>
      <c r="L29" s="463">
        <v>9.3825499815371624E-2</v>
      </c>
      <c r="M29" s="463">
        <v>1.1001469854597847</v>
      </c>
    </row>
    <row r="30" spans="1:13" x14ac:dyDescent="0.15">
      <c r="A30" s="464">
        <v>5</v>
      </c>
      <c r="B30" s="465"/>
      <c r="C30" s="465"/>
      <c r="D30" s="465"/>
      <c r="E30" s="465"/>
      <c r="F30" s="465"/>
      <c r="G30" s="465"/>
      <c r="H30" s="465"/>
      <c r="I30" s="465"/>
      <c r="J30" s="465"/>
      <c r="K30" s="465"/>
      <c r="L30" s="465"/>
      <c r="M30" s="465"/>
    </row>
    <row r="31" spans="1:13" x14ac:dyDescent="0.15">
      <c r="A31" s="466" t="s">
        <v>135</v>
      </c>
      <c r="B31" s="465">
        <v>1110973</v>
      </c>
      <c r="C31" s="465">
        <v>1120810</v>
      </c>
      <c r="D31" s="465">
        <v>1120347</v>
      </c>
      <c r="E31" s="465">
        <v>1111490</v>
      </c>
      <c r="F31" s="465">
        <v>1112207</v>
      </c>
      <c r="G31" s="465">
        <v>1116503</v>
      </c>
      <c r="H31" s="465">
        <v>1109087</v>
      </c>
      <c r="I31" s="465">
        <v>1108080</v>
      </c>
      <c r="J31" s="465">
        <v>1106450</v>
      </c>
      <c r="K31" s="465">
        <v>1095283</v>
      </c>
      <c r="L31" s="465">
        <v>1109670</v>
      </c>
      <c r="M31" s="465">
        <v>12220900</v>
      </c>
    </row>
    <row r="32" spans="1:13" x14ac:dyDescent="0.15">
      <c r="A32" s="466" t="s">
        <v>475</v>
      </c>
      <c r="B32" s="465">
        <v>1025813</v>
      </c>
      <c r="C32" s="465">
        <v>1026563</v>
      </c>
      <c r="D32" s="465">
        <v>1021793</v>
      </c>
      <c r="E32" s="465">
        <v>1011993</v>
      </c>
      <c r="F32" s="465">
        <v>1010453</v>
      </c>
      <c r="G32" s="465">
        <v>1020780</v>
      </c>
      <c r="H32" s="465">
        <v>1013410</v>
      </c>
      <c r="I32" s="465">
        <v>1011743</v>
      </c>
      <c r="J32" s="465">
        <v>1011677</v>
      </c>
      <c r="K32" s="465">
        <v>1004630</v>
      </c>
      <c r="L32" s="465">
        <v>1017427</v>
      </c>
      <c r="M32" s="465">
        <v>11176282</v>
      </c>
    </row>
    <row r="33" spans="1:13" x14ac:dyDescent="0.15">
      <c r="A33" s="466" t="s">
        <v>202</v>
      </c>
      <c r="B33" s="465">
        <v>85160</v>
      </c>
      <c r="C33" s="465">
        <v>94247</v>
      </c>
      <c r="D33" s="465">
        <v>98553</v>
      </c>
      <c r="E33" s="465">
        <v>99497</v>
      </c>
      <c r="F33" s="465">
        <v>101753</v>
      </c>
      <c r="G33" s="465">
        <v>95723</v>
      </c>
      <c r="H33" s="465">
        <v>95677</v>
      </c>
      <c r="I33" s="465">
        <v>96337</v>
      </c>
      <c r="J33" s="465">
        <v>94773</v>
      </c>
      <c r="K33" s="465">
        <v>90653</v>
      </c>
      <c r="L33" s="465">
        <v>92243</v>
      </c>
      <c r="M33" s="465">
        <v>1044616</v>
      </c>
    </row>
    <row r="34" spans="1:13" x14ac:dyDescent="0.15">
      <c r="A34" s="466" t="s">
        <v>440</v>
      </c>
      <c r="B34" s="463">
        <v>7.6653528033534563E-2</v>
      </c>
      <c r="C34" s="463">
        <v>8.4088293287890012E-2</v>
      </c>
      <c r="D34" s="463">
        <v>8.7966496094513569E-2</v>
      </c>
      <c r="E34" s="463">
        <v>8.9516774779800093E-2</v>
      </c>
      <c r="F34" s="463">
        <v>9.1487465912370627E-2</v>
      </c>
      <c r="G34" s="463">
        <v>8.5734655437558163E-2</v>
      </c>
      <c r="H34" s="463">
        <v>8.6266451594870369E-2</v>
      </c>
      <c r="I34" s="463">
        <v>8.6940473612013569E-2</v>
      </c>
      <c r="J34" s="463">
        <v>8.5655022820732979E-2</v>
      </c>
      <c r="K34" s="463">
        <v>8.2766736998565668E-2</v>
      </c>
      <c r="L34" s="463">
        <v>8.3126515090071823E-2</v>
      </c>
      <c r="M34" s="463">
        <v>0.94020241366192137</v>
      </c>
    </row>
    <row r="35" spans="1:13" x14ac:dyDescent="0.15">
      <c r="A35" s="464">
        <v>6</v>
      </c>
      <c r="B35" s="465"/>
      <c r="C35" s="465"/>
      <c r="D35" s="465"/>
      <c r="E35" s="465"/>
      <c r="F35" s="465"/>
      <c r="G35" s="465"/>
      <c r="H35" s="465"/>
      <c r="I35" s="465"/>
      <c r="J35" s="465"/>
      <c r="K35" s="465"/>
      <c r="L35" s="465"/>
      <c r="M35" s="465"/>
    </row>
    <row r="36" spans="1:13" x14ac:dyDescent="0.15">
      <c r="A36" s="466" t="s">
        <v>135</v>
      </c>
      <c r="B36" s="465">
        <v>403637</v>
      </c>
      <c r="C36" s="465">
        <v>397743</v>
      </c>
      <c r="D36" s="465">
        <v>391133</v>
      </c>
      <c r="E36" s="465">
        <v>395390</v>
      </c>
      <c r="F36" s="465">
        <v>399893</v>
      </c>
      <c r="G36" s="465">
        <v>396107</v>
      </c>
      <c r="H36" s="465">
        <v>391683</v>
      </c>
      <c r="I36" s="465">
        <v>398350</v>
      </c>
      <c r="J36" s="465">
        <v>394597</v>
      </c>
      <c r="K36" s="465">
        <v>390640</v>
      </c>
      <c r="L36" s="465">
        <v>384263</v>
      </c>
      <c r="M36" s="465">
        <v>4343436</v>
      </c>
    </row>
    <row r="37" spans="1:13" x14ac:dyDescent="0.15">
      <c r="A37" s="466" t="s">
        <v>475</v>
      </c>
      <c r="B37" s="465">
        <v>366237</v>
      </c>
      <c r="C37" s="465">
        <v>358583</v>
      </c>
      <c r="D37" s="465">
        <v>352607</v>
      </c>
      <c r="E37" s="465">
        <v>356867</v>
      </c>
      <c r="F37" s="465">
        <v>354467</v>
      </c>
      <c r="G37" s="465">
        <v>356933</v>
      </c>
      <c r="H37" s="465">
        <v>354773</v>
      </c>
      <c r="I37" s="465">
        <v>362203</v>
      </c>
      <c r="J37" s="465">
        <v>354057</v>
      </c>
      <c r="K37" s="465">
        <v>353040</v>
      </c>
      <c r="L37" s="465">
        <v>348023</v>
      </c>
      <c r="M37" s="465">
        <v>3917790</v>
      </c>
    </row>
    <row r="38" spans="1:13" x14ac:dyDescent="0.15">
      <c r="A38" s="466" t="s">
        <v>202</v>
      </c>
      <c r="B38" s="465">
        <v>37400</v>
      </c>
      <c r="C38" s="465">
        <v>39160</v>
      </c>
      <c r="D38" s="465">
        <v>38527</v>
      </c>
      <c r="E38" s="465">
        <v>38523</v>
      </c>
      <c r="F38" s="465">
        <v>45427</v>
      </c>
      <c r="G38" s="465">
        <v>39173</v>
      </c>
      <c r="H38" s="465">
        <v>36910</v>
      </c>
      <c r="I38" s="465">
        <v>36147</v>
      </c>
      <c r="J38" s="465">
        <v>40540</v>
      </c>
      <c r="K38" s="465">
        <v>37600</v>
      </c>
      <c r="L38" s="465">
        <v>36240</v>
      </c>
      <c r="M38" s="465">
        <v>425647</v>
      </c>
    </row>
    <row r="39" spans="1:13" x14ac:dyDescent="0.15">
      <c r="A39" s="466" t="s">
        <v>440</v>
      </c>
      <c r="B39" s="463">
        <v>9.2657511575995263E-2</v>
      </c>
      <c r="C39" s="463">
        <v>9.8455535358258975E-2</v>
      </c>
      <c r="D39" s="463">
        <v>9.8501021391700527E-2</v>
      </c>
      <c r="E39" s="463">
        <v>9.7430385189306759E-2</v>
      </c>
      <c r="F39" s="463">
        <v>0.11359788743488883</v>
      </c>
      <c r="G39" s="463">
        <v>9.889499554413328E-2</v>
      </c>
      <c r="H39" s="463">
        <v>9.4234368098692053E-2</v>
      </c>
      <c r="I39" s="463">
        <v>9.0741809966110198E-2</v>
      </c>
      <c r="J39" s="463">
        <v>0.1027377298864411</v>
      </c>
      <c r="K39" s="463">
        <v>9.6252303911529793E-2</v>
      </c>
      <c r="L39" s="463">
        <v>9.4310407195072124E-2</v>
      </c>
      <c r="M39" s="463">
        <v>1.0778139555521289</v>
      </c>
    </row>
    <row r="40" spans="1:13" x14ac:dyDescent="0.15">
      <c r="A40" s="464">
        <v>7</v>
      </c>
      <c r="B40" s="465"/>
      <c r="C40" s="465"/>
      <c r="D40" s="465"/>
      <c r="E40" s="465"/>
      <c r="F40" s="465"/>
      <c r="G40" s="465"/>
      <c r="H40" s="465"/>
      <c r="I40" s="465"/>
      <c r="J40" s="465"/>
      <c r="K40" s="465"/>
      <c r="L40" s="465"/>
      <c r="M40" s="465"/>
    </row>
    <row r="41" spans="1:13" x14ac:dyDescent="0.15">
      <c r="A41" s="466" t="s">
        <v>135</v>
      </c>
      <c r="B41" s="465">
        <v>269310</v>
      </c>
      <c r="C41" s="465">
        <v>263667</v>
      </c>
      <c r="D41" s="465">
        <v>262243</v>
      </c>
      <c r="E41" s="465">
        <v>266790</v>
      </c>
      <c r="F41" s="465">
        <v>269340</v>
      </c>
      <c r="G41" s="465">
        <v>266033</v>
      </c>
      <c r="H41" s="465">
        <v>263933</v>
      </c>
      <c r="I41" s="465">
        <v>267653</v>
      </c>
      <c r="J41" s="465">
        <v>263647</v>
      </c>
      <c r="K41" s="465">
        <v>261137</v>
      </c>
      <c r="L41" s="465">
        <v>254620</v>
      </c>
      <c r="M41" s="465">
        <v>2908373</v>
      </c>
    </row>
    <row r="42" spans="1:13" x14ac:dyDescent="0.15">
      <c r="A42" s="466" t="s">
        <v>475</v>
      </c>
      <c r="B42" s="465">
        <v>234967</v>
      </c>
      <c r="C42" s="465">
        <v>229433</v>
      </c>
      <c r="D42" s="465">
        <v>226627</v>
      </c>
      <c r="E42" s="465">
        <v>229967</v>
      </c>
      <c r="F42" s="465">
        <v>228240</v>
      </c>
      <c r="G42" s="465">
        <v>230230</v>
      </c>
      <c r="H42" s="465">
        <v>229630</v>
      </c>
      <c r="I42" s="465">
        <v>234197</v>
      </c>
      <c r="J42" s="465">
        <v>229260</v>
      </c>
      <c r="K42" s="465">
        <v>228457</v>
      </c>
      <c r="L42" s="465">
        <v>225457</v>
      </c>
      <c r="M42" s="465">
        <v>2526465</v>
      </c>
    </row>
    <row r="43" spans="1:13" x14ac:dyDescent="0.15">
      <c r="A43" s="466" t="s">
        <v>202</v>
      </c>
      <c r="B43" s="465">
        <v>34343</v>
      </c>
      <c r="C43" s="465">
        <v>34233</v>
      </c>
      <c r="D43" s="465">
        <v>35617</v>
      </c>
      <c r="E43" s="465">
        <v>36823</v>
      </c>
      <c r="F43" s="465">
        <v>41100</v>
      </c>
      <c r="G43" s="465">
        <v>35803</v>
      </c>
      <c r="H43" s="465">
        <v>34303</v>
      </c>
      <c r="I43" s="465">
        <v>33457</v>
      </c>
      <c r="J43" s="465">
        <v>34387</v>
      </c>
      <c r="K43" s="465">
        <v>32680</v>
      </c>
      <c r="L43" s="465">
        <v>29163</v>
      </c>
      <c r="M43" s="465">
        <v>381909</v>
      </c>
    </row>
    <row r="44" spans="1:13" x14ac:dyDescent="0.15">
      <c r="A44" s="466" t="s">
        <v>440</v>
      </c>
      <c r="B44" s="463">
        <v>0.12752218632802348</v>
      </c>
      <c r="C44" s="463">
        <v>0.12983422271273992</v>
      </c>
      <c r="D44" s="463">
        <v>0.13581678061950175</v>
      </c>
      <c r="E44" s="463">
        <v>0.13802241463323214</v>
      </c>
      <c r="F44" s="463">
        <v>0.15259523279126755</v>
      </c>
      <c r="G44" s="463">
        <v>0.13458104821582284</v>
      </c>
      <c r="H44" s="463">
        <v>0.12996859051350154</v>
      </c>
      <c r="I44" s="463">
        <v>0.12500140106780047</v>
      </c>
      <c r="J44" s="463">
        <v>0.13042818617317853</v>
      </c>
      <c r="K44" s="463">
        <v>0.12514503881104555</v>
      </c>
      <c r="L44" s="463">
        <v>0.11453538606550939</v>
      </c>
      <c r="M44" s="463">
        <v>1.4434504879316232</v>
      </c>
    </row>
    <row r="45" spans="1:13" x14ac:dyDescent="0.15">
      <c r="A45" s="464">
        <v>8</v>
      </c>
      <c r="B45" s="465"/>
      <c r="C45" s="465"/>
      <c r="D45" s="465"/>
      <c r="E45" s="465"/>
      <c r="F45" s="465"/>
      <c r="G45" s="465"/>
      <c r="H45" s="465"/>
      <c r="I45" s="465"/>
      <c r="J45" s="465"/>
      <c r="K45" s="465"/>
      <c r="L45" s="465"/>
      <c r="M45" s="465"/>
    </row>
    <row r="46" spans="1:13" x14ac:dyDescent="0.15">
      <c r="A46" s="466" t="s">
        <v>135</v>
      </c>
      <c r="B46" s="465">
        <v>127470</v>
      </c>
      <c r="C46" s="465">
        <v>134187</v>
      </c>
      <c r="D46" s="465">
        <v>153740</v>
      </c>
      <c r="E46" s="465">
        <v>132117</v>
      </c>
      <c r="F46" s="465">
        <v>127410</v>
      </c>
      <c r="G46" s="465">
        <v>135363</v>
      </c>
      <c r="H46" s="465">
        <v>150010</v>
      </c>
      <c r="I46" s="465">
        <v>134597</v>
      </c>
      <c r="J46" s="465">
        <v>182687</v>
      </c>
      <c r="K46" s="465">
        <v>134463</v>
      </c>
      <c r="L46" s="465">
        <v>149583</v>
      </c>
      <c r="M46" s="465">
        <v>1561627</v>
      </c>
    </row>
    <row r="47" spans="1:13" x14ac:dyDescent="0.15">
      <c r="A47" s="466" t="s">
        <v>475</v>
      </c>
      <c r="B47" s="465">
        <v>113897</v>
      </c>
      <c r="C47" s="465">
        <v>122667</v>
      </c>
      <c r="D47" s="465">
        <v>142603</v>
      </c>
      <c r="E47" s="465">
        <v>119587</v>
      </c>
      <c r="F47" s="465">
        <v>111563</v>
      </c>
      <c r="G47" s="465">
        <v>122903</v>
      </c>
      <c r="H47" s="465">
        <v>138553</v>
      </c>
      <c r="I47" s="465">
        <v>122583</v>
      </c>
      <c r="J47" s="465">
        <v>165010</v>
      </c>
      <c r="K47" s="465">
        <v>122640</v>
      </c>
      <c r="L47" s="465">
        <v>138793</v>
      </c>
      <c r="M47" s="465">
        <v>1420799</v>
      </c>
    </row>
    <row r="48" spans="1:13" x14ac:dyDescent="0.15">
      <c r="A48" s="466" t="s">
        <v>202</v>
      </c>
      <c r="B48" s="465">
        <v>13573</v>
      </c>
      <c r="C48" s="465">
        <v>11520</v>
      </c>
      <c r="D48" s="465">
        <v>11137</v>
      </c>
      <c r="E48" s="465">
        <v>12530</v>
      </c>
      <c r="F48" s="465">
        <v>15847</v>
      </c>
      <c r="G48" s="465">
        <v>12460</v>
      </c>
      <c r="H48" s="465">
        <v>11457</v>
      </c>
      <c r="I48" s="465">
        <v>12013</v>
      </c>
      <c r="J48" s="465">
        <v>17677</v>
      </c>
      <c r="K48" s="465">
        <v>11823</v>
      </c>
      <c r="L48" s="465">
        <v>10790</v>
      </c>
      <c r="M48" s="465">
        <v>140827</v>
      </c>
    </row>
    <row r="49" spans="1:13" x14ac:dyDescent="0.15">
      <c r="A49" s="466" t="s">
        <v>440</v>
      </c>
      <c r="B49" s="463">
        <v>0.10647995606809445</v>
      </c>
      <c r="C49" s="463">
        <v>8.5850343177804114E-2</v>
      </c>
      <c r="D49" s="463">
        <v>7.2440483933914404E-2</v>
      </c>
      <c r="E49" s="463">
        <v>9.4840179537833885E-2</v>
      </c>
      <c r="F49" s="463">
        <v>0.12437799230829605</v>
      </c>
      <c r="G49" s="463">
        <v>9.2048787334796073E-2</v>
      </c>
      <c r="H49" s="463">
        <v>7.6374908339444034E-2</v>
      </c>
      <c r="I49" s="463">
        <v>8.9251617792372784E-2</v>
      </c>
      <c r="J49" s="463">
        <v>9.676112695484626E-2</v>
      </c>
      <c r="K49" s="463">
        <v>8.7927533968452293E-2</v>
      </c>
      <c r="L49" s="463">
        <v>7.2133865479365969E-2</v>
      </c>
      <c r="M49" s="463">
        <v>0.9984867948952203</v>
      </c>
    </row>
    <row r="50" spans="1:13" x14ac:dyDescent="0.15">
      <c r="A50" s="464">
        <v>9</v>
      </c>
      <c r="B50" s="465"/>
      <c r="C50" s="465"/>
      <c r="D50" s="465"/>
      <c r="E50" s="465"/>
      <c r="F50" s="465"/>
      <c r="G50" s="465"/>
      <c r="H50" s="465"/>
      <c r="I50" s="465"/>
      <c r="J50" s="465"/>
      <c r="K50" s="465"/>
      <c r="L50" s="465"/>
      <c r="M50" s="465"/>
    </row>
    <row r="51" spans="1:13" x14ac:dyDescent="0.15">
      <c r="A51" s="466" t="s">
        <v>135</v>
      </c>
      <c r="B51" s="465">
        <v>157097</v>
      </c>
      <c r="C51" s="465">
        <v>161897</v>
      </c>
      <c r="D51" s="465">
        <v>171027</v>
      </c>
      <c r="E51" s="465">
        <v>160613</v>
      </c>
      <c r="F51" s="465">
        <v>158867</v>
      </c>
      <c r="G51" s="465">
        <v>163097</v>
      </c>
      <c r="H51" s="465">
        <v>171350</v>
      </c>
      <c r="I51" s="465">
        <v>164267</v>
      </c>
      <c r="J51" s="465">
        <v>158147</v>
      </c>
      <c r="K51" s="465">
        <v>160933</v>
      </c>
      <c r="L51" s="465">
        <v>166043</v>
      </c>
      <c r="M51" s="465">
        <v>1793338</v>
      </c>
    </row>
    <row r="52" spans="1:13" x14ac:dyDescent="0.15">
      <c r="A52" s="466" t="s">
        <v>475</v>
      </c>
      <c r="B52" s="465">
        <v>140877</v>
      </c>
      <c r="C52" s="465">
        <v>147397</v>
      </c>
      <c r="D52" s="465">
        <v>157120</v>
      </c>
      <c r="E52" s="465">
        <v>145463</v>
      </c>
      <c r="F52" s="465">
        <v>139657</v>
      </c>
      <c r="G52" s="465">
        <v>147310</v>
      </c>
      <c r="H52" s="465">
        <v>156617</v>
      </c>
      <c r="I52" s="465">
        <v>149460</v>
      </c>
      <c r="J52" s="465">
        <v>140503</v>
      </c>
      <c r="K52" s="465">
        <v>145207</v>
      </c>
      <c r="L52" s="465">
        <v>151347</v>
      </c>
      <c r="M52" s="465">
        <v>1620958</v>
      </c>
    </row>
    <row r="53" spans="1:13" x14ac:dyDescent="0.15">
      <c r="A53" s="466" t="s">
        <v>202</v>
      </c>
      <c r="B53" s="465">
        <v>16220</v>
      </c>
      <c r="C53" s="465">
        <v>14500</v>
      </c>
      <c r="D53" s="465">
        <v>13907</v>
      </c>
      <c r="E53" s="465">
        <v>15150</v>
      </c>
      <c r="F53" s="465">
        <v>19210</v>
      </c>
      <c r="G53" s="465">
        <v>15787</v>
      </c>
      <c r="H53" s="465">
        <v>14733</v>
      </c>
      <c r="I53" s="465">
        <v>14807</v>
      </c>
      <c r="J53" s="465">
        <v>17643</v>
      </c>
      <c r="K53" s="465">
        <v>15727</v>
      </c>
      <c r="L53" s="465">
        <v>14697</v>
      </c>
      <c r="M53" s="465">
        <v>172381</v>
      </c>
    </row>
    <row r="54" spans="1:13" x14ac:dyDescent="0.15">
      <c r="A54" s="466" t="s">
        <v>440</v>
      </c>
      <c r="B54" s="463">
        <v>0.10324831155273494</v>
      </c>
      <c r="C54" s="463">
        <v>8.9563117290623051E-2</v>
      </c>
      <c r="D54" s="463">
        <v>8.1314646225449788E-2</v>
      </c>
      <c r="E54" s="463">
        <v>9.432611307926507E-2</v>
      </c>
      <c r="F54" s="463">
        <v>0.12091875594050369</v>
      </c>
      <c r="G54" s="463">
        <v>9.6795158709234386E-2</v>
      </c>
      <c r="H54" s="463">
        <v>8.598190837467172E-2</v>
      </c>
      <c r="I54" s="463">
        <v>9.0139833320143428E-2</v>
      </c>
      <c r="J54" s="463">
        <v>0.11156076308750719</v>
      </c>
      <c r="K54" s="463">
        <v>9.7723897522571504E-2</v>
      </c>
      <c r="L54" s="463">
        <v>8.8513216455978275E-2</v>
      </c>
      <c r="M54" s="463">
        <v>1.060085721558683</v>
      </c>
    </row>
    <row r="55" spans="1:13" x14ac:dyDescent="0.15">
      <c r="A55" s="464">
        <v>10</v>
      </c>
      <c r="B55" s="465"/>
      <c r="C55" s="465"/>
      <c r="D55" s="465"/>
      <c r="E55" s="465"/>
      <c r="F55" s="465"/>
      <c r="G55" s="465"/>
      <c r="H55" s="465"/>
      <c r="I55" s="465"/>
      <c r="J55" s="465"/>
      <c r="K55" s="465"/>
      <c r="L55" s="465"/>
      <c r="M55" s="465"/>
    </row>
    <row r="56" spans="1:13" x14ac:dyDescent="0.15">
      <c r="A56" s="466" t="s">
        <v>135</v>
      </c>
      <c r="B56" s="465">
        <v>98783</v>
      </c>
      <c r="C56" s="465">
        <v>99213</v>
      </c>
      <c r="D56" s="465">
        <v>97273</v>
      </c>
      <c r="E56" s="465">
        <v>98010</v>
      </c>
      <c r="F56" s="465">
        <v>98540</v>
      </c>
      <c r="G56" s="465">
        <v>99857</v>
      </c>
      <c r="H56" s="465">
        <v>98707</v>
      </c>
      <c r="I56" s="465">
        <v>98457</v>
      </c>
      <c r="J56" s="465">
        <v>97120</v>
      </c>
      <c r="K56" s="465">
        <v>97160</v>
      </c>
      <c r="L56" s="465">
        <v>95923</v>
      </c>
      <c r="M56" s="465">
        <v>1079043</v>
      </c>
    </row>
    <row r="57" spans="1:13" x14ac:dyDescent="0.15">
      <c r="A57" s="466" t="s">
        <v>475</v>
      </c>
      <c r="B57" s="465">
        <v>89223</v>
      </c>
      <c r="C57" s="465">
        <v>90610</v>
      </c>
      <c r="D57" s="465">
        <v>89087</v>
      </c>
      <c r="E57" s="465">
        <v>89623</v>
      </c>
      <c r="F57" s="465">
        <v>87840</v>
      </c>
      <c r="G57" s="465">
        <v>91133</v>
      </c>
      <c r="H57" s="465">
        <v>90593</v>
      </c>
      <c r="I57" s="465">
        <v>90553</v>
      </c>
      <c r="J57" s="465">
        <v>87527</v>
      </c>
      <c r="K57" s="465">
        <v>88857</v>
      </c>
      <c r="L57" s="465">
        <v>88103</v>
      </c>
      <c r="M57" s="465">
        <v>983149</v>
      </c>
    </row>
    <row r="58" spans="1:13" x14ac:dyDescent="0.15">
      <c r="A58" s="466" t="s">
        <v>202</v>
      </c>
      <c r="B58" s="465">
        <v>9560</v>
      </c>
      <c r="C58" s="465">
        <v>8603</v>
      </c>
      <c r="D58" s="465">
        <v>8187</v>
      </c>
      <c r="E58" s="465">
        <v>8387</v>
      </c>
      <c r="F58" s="465">
        <v>10700</v>
      </c>
      <c r="G58" s="465">
        <v>8723</v>
      </c>
      <c r="H58" s="465">
        <v>8113</v>
      </c>
      <c r="I58" s="465">
        <v>7903</v>
      </c>
      <c r="J58" s="465">
        <v>9593</v>
      </c>
      <c r="K58" s="465">
        <v>8303</v>
      </c>
      <c r="L58" s="465">
        <v>7820</v>
      </c>
      <c r="M58" s="465">
        <v>95892</v>
      </c>
    </row>
    <row r="59" spans="1:13" x14ac:dyDescent="0.15">
      <c r="A59" s="466" t="s">
        <v>440</v>
      </c>
      <c r="B59" s="463">
        <v>9.6777785651377263E-2</v>
      </c>
      <c r="C59" s="463">
        <v>8.6712426798907408E-2</v>
      </c>
      <c r="D59" s="463">
        <v>8.4165184583594621E-2</v>
      </c>
      <c r="E59" s="463">
        <v>8.5572900724415882E-2</v>
      </c>
      <c r="F59" s="463">
        <v>0.10858534605236453</v>
      </c>
      <c r="G59" s="463">
        <v>8.7354917532070864E-2</v>
      </c>
      <c r="H59" s="463">
        <v>8.2192752287071832E-2</v>
      </c>
      <c r="I59" s="463">
        <v>8.0268543628182865E-2</v>
      </c>
      <c r="J59" s="463">
        <v>9.8774711696869855E-2</v>
      </c>
      <c r="K59" s="463">
        <v>8.5456978180321122E-2</v>
      </c>
      <c r="L59" s="463">
        <v>8.1523722152142861E-2</v>
      </c>
      <c r="M59" s="463">
        <v>0.97738526928731917</v>
      </c>
    </row>
    <row r="60" spans="1:13" x14ac:dyDescent="0.15">
      <c r="A60" s="464">
        <v>11</v>
      </c>
      <c r="B60" s="465"/>
      <c r="C60" s="465"/>
      <c r="D60" s="465"/>
      <c r="E60" s="465"/>
      <c r="F60" s="465"/>
      <c r="G60" s="465"/>
      <c r="H60" s="465"/>
      <c r="I60" s="465"/>
      <c r="J60" s="465"/>
      <c r="K60" s="465"/>
      <c r="L60" s="465"/>
      <c r="M60" s="465"/>
    </row>
    <row r="61" spans="1:13" x14ac:dyDescent="0.15">
      <c r="A61" s="466" t="s">
        <v>135</v>
      </c>
      <c r="B61" s="465">
        <v>125097</v>
      </c>
      <c r="C61" s="465">
        <v>129930</v>
      </c>
      <c r="D61" s="465">
        <v>133423</v>
      </c>
      <c r="E61" s="465">
        <v>128993</v>
      </c>
      <c r="F61" s="465">
        <v>129717</v>
      </c>
      <c r="G61" s="465">
        <v>135500</v>
      </c>
      <c r="H61" s="465">
        <v>138703</v>
      </c>
      <c r="I61" s="465">
        <v>135183</v>
      </c>
      <c r="J61" s="465">
        <v>132293</v>
      </c>
      <c r="K61" s="465">
        <v>134490</v>
      </c>
      <c r="L61" s="465">
        <v>134477</v>
      </c>
      <c r="M61" s="465">
        <v>1457806</v>
      </c>
    </row>
    <row r="62" spans="1:13" x14ac:dyDescent="0.15">
      <c r="A62" s="466" t="s">
        <v>475</v>
      </c>
      <c r="B62" s="465">
        <v>114490</v>
      </c>
      <c r="C62" s="465">
        <v>120613</v>
      </c>
      <c r="D62" s="465">
        <v>124350</v>
      </c>
      <c r="E62" s="465">
        <v>119117</v>
      </c>
      <c r="F62" s="465">
        <v>117720</v>
      </c>
      <c r="G62" s="465">
        <v>125810</v>
      </c>
      <c r="H62" s="465">
        <v>129410</v>
      </c>
      <c r="I62" s="465">
        <v>125627</v>
      </c>
      <c r="J62" s="465">
        <v>121260</v>
      </c>
      <c r="K62" s="465">
        <v>124780</v>
      </c>
      <c r="L62" s="465">
        <v>125030</v>
      </c>
      <c r="M62" s="465">
        <v>1348207</v>
      </c>
    </row>
    <row r="63" spans="1:13" x14ac:dyDescent="0.15">
      <c r="A63" s="466" t="s">
        <v>202</v>
      </c>
      <c r="B63" s="465">
        <v>10607</v>
      </c>
      <c r="C63" s="465">
        <v>9317</v>
      </c>
      <c r="D63" s="465">
        <v>9073</v>
      </c>
      <c r="E63" s="465">
        <v>9877</v>
      </c>
      <c r="F63" s="465">
        <v>11997</v>
      </c>
      <c r="G63" s="465">
        <v>9690</v>
      </c>
      <c r="H63" s="465">
        <v>9293</v>
      </c>
      <c r="I63" s="465">
        <v>9557</v>
      </c>
      <c r="J63" s="465">
        <v>11033</v>
      </c>
      <c r="K63" s="465">
        <v>9710</v>
      </c>
      <c r="L63" s="465">
        <v>9447</v>
      </c>
      <c r="M63" s="465">
        <v>109601</v>
      </c>
    </row>
    <row r="64" spans="1:13" x14ac:dyDescent="0.15">
      <c r="A64" s="466" t="s">
        <v>440</v>
      </c>
      <c r="B64" s="463">
        <v>8.479020280262517E-2</v>
      </c>
      <c r="C64" s="463">
        <v>7.1707842684522433E-2</v>
      </c>
      <c r="D64" s="463">
        <v>6.8001768810474955E-2</v>
      </c>
      <c r="E64" s="463">
        <v>7.6570046436628347E-2</v>
      </c>
      <c r="F64" s="463">
        <v>9.2485950183861798E-2</v>
      </c>
      <c r="G64" s="463">
        <v>7.1512915129151297E-2</v>
      </c>
      <c r="H64" s="463">
        <v>6.6999271825411127E-2</v>
      </c>
      <c r="I64" s="463">
        <v>7.0696759207888565E-2</v>
      </c>
      <c r="J64" s="463">
        <v>8.3398214569175996E-2</v>
      </c>
      <c r="K64" s="463">
        <v>7.2198676481522783E-2</v>
      </c>
      <c r="L64" s="463">
        <v>7.0249931215003308E-2</v>
      </c>
      <c r="M64" s="463">
        <v>0.82861157934626573</v>
      </c>
    </row>
    <row r="65" spans="1:13" x14ac:dyDescent="0.15">
      <c r="A65" s="464">
        <v>12</v>
      </c>
      <c r="B65" s="465"/>
      <c r="C65" s="465"/>
      <c r="D65" s="465"/>
      <c r="E65" s="465"/>
      <c r="F65" s="465"/>
      <c r="G65" s="465"/>
      <c r="H65" s="465"/>
      <c r="I65" s="465"/>
      <c r="J65" s="465"/>
      <c r="K65" s="465"/>
      <c r="L65" s="465"/>
      <c r="M65" s="465"/>
    </row>
    <row r="66" spans="1:13" x14ac:dyDescent="0.15">
      <c r="A66" s="466" t="s">
        <v>135</v>
      </c>
      <c r="B66" s="465">
        <v>244630</v>
      </c>
      <c r="C66" s="465">
        <v>240093</v>
      </c>
      <c r="D66" s="465">
        <v>234370</v>
      </c>
      <c r="E66" s="465">
        <v>239197</v>
      </c>
      <c r="F66" s="465">
        <v>240403</v>
      </c>
      <c r="G66" s="465">
        <v>237310</v>
      </c>
      <c r="H66" s="465">
        <v>232337</v>
      </c>
      <c r="I66" s="465">
        <v>239960</v>
      </c>
      <c r="J66" s="465">
        <v>237533</v>
      </c>
      <c r="K66" s="465">
        <v>235217</v>
      </c>
      <c r="L66" s="465">
        <v>226867</v>
      </c>
      <c r="M66" s="465">
        <v>2607917</v>
      </c>
    </row>
    <row r="67" spans="1:13" x14ac:dyDescent="0.15">
      <c r="A67" s="466" t="s">
        <v>475</v>
      </c>
      <c r="B67" s="465">
        <v>221210</v>
      </c>
      <c r="C67" s="465">
        <v>218500</v>
      </c>
      <c r="D67" s="465">
        <v>213177</v>
      </c>
      <c r="E67" s="465">
        <v>217123</v>
      </c>
      <c r="F67" s="465">
        <v>212967</v>
      </c>
      <c r="G67" s="465">
        <v>215073</v>
      </c>
      <c r="H67" s="465">
        <v>211583</v>
      </c>
      <c r="I67" s="465">
        <v>219157</v>
      </c>
      <c r="J67" s="465">
        <v>212977</v>
      </c>
      <c r="K67" s="465">
        <v>214337</v>
      </c>
      <c r="L67" s="465">
        <v>206910</v>
      </c>
      <c r="M67" s="465">
        <v>2363014</v>
      </c>
    </row>
    <row r="68" spans="1:13" x14ac:dyDescent="0.15">
      <c r="A68" s="466" t="s">
        <v>202</v>
      </c>
      <c r="B68" s="465">
        <v>23420</v>
      </c>
      <c r="C68" s="465">
        <v>21593</v>
      </c>
      <c r="D68" s="465">
        <v>21193</v>
      </c>
      <c r="E68" s="465">
        <v>22073</v>
      </c>
      <c r="F68" s="465">
        <v>27437</v>
      </c>
      <c r="G68" s="465">
        <v>22237</v>
      </c>
      <c r="H68" s="465">
        <v>20753</v>
      </c>
      <c r="I68" s="465">
        <v>20803</v>
      </c>
      <c r="J68" s="465">
        <v>24557</v>
      </c>
      <c r="K68" s="465">
        <v>20880</v>
      </c>
      <c r="L68" s="465">
        <v>19957</v>
      </c>
      <c r="M68" s="465">
        <v>244903</v>
      </c>
    </row>
    <row r="69" spans="1:13" x14ac:dyDescent="0.15">
      <c r="A69" s="466" t="s">
        <v>440</v>
      </c>
      <c r="B69" s="463">
        <v>9.5736418264317544E-2</v>
      </c>
      <c r="C69" s="463">
        <v>8.9935983139866629E-2</v>
      </c>
      <c r="D69" s="463">
        <v>9.0425395741775827E-2</v>
      </c>
      <c r="E69" s="463">
        <v>9.2279585446305767E-2</v>
      </c>
      <c r="F69" s="463">
        <v>0.11412919139944178</v>
      </c>
      <c r="G69" s="463">
        <v>9.3704437233997726E-2</v>
      </c>
      <c r="H69" s="463">
        <v>8.9322837085784867E-2</v>
      </c>
      <c r="I69" s="463">
        <v>8.669361560260043E-2</v>
      </c>
      <c r="J69" s="463">
        <v>0.10338352986742895</v>
      </c>
      <c r="K69" s="463">
        <v>8.8769094070581631E-2</v>
      </c>
      <c r="L69" s="463">
        <v>8.7967840188304156E-2</v>
      </c>
      <c r="M69" s="463">
        <v>1.0323479280404053</v>
      </c>
    </row>
    <row r="70" spans="1:13" hidden="1" x14ac:dyDescent="0.15">
      <c r="A70" s="464" t="s">
        <v>441</v>
      </c>
      <c r="B70" s="465">
        <v>7001457</v>
      </c>
      <c r="C70" s="465">
        <v>6996637</v>
      </c>
      <c r="D70" s="465">
        <v>7050912</v>
      </c>
      <c r="E70" s="465">
        <v>7029889</v>
      </c>
      <c r="F70" s="465">
        <v>7057243</v>
      </c>
      <c r="G70" s="465">
        <v>7077692</v>
      </c>
      <c r="H70" s="465">
        <v>7085050</v>
      </c>
      <c r="I70" s="465">
        <v>7044207</v>
      </c>
      <c r="J70" s="465">
        <v>7072963</v>
      </c>
      <c r="K70" s="465">
        <v>7011810</v>
      </c>
      <c r="L70" s="465">
        <v>7020600</v>
      </c>
      <c r="M70" s="465">
        <v>77448460</v>
      </c>
    </row>
    <row r="71" spans="1:13" hidden="1" x14ac:dyDescent="0.15">
      <c r="A71" s="464" t="s">
        <v>476</v>
      </c>
      <c r="B71" s="465">
        <v>6421694</v>
      </c>
      <c r="C71" s="465">
        <v>6427050</v>
      </c>
      <c r="D71" s="465">
        <v>4300244</v>
      </c>
      <c r="E71" s="465">
        <v>6356791</v>
      </c>
      <c r="F71" s="465">
        <v>6288534</v>
      </c>
      <c r="G71" s="465">
        <v>6407611</v>
      </c>
      <c r="H71" s="465">
        <v>6428852</v>
      </c>
      <c r="I71" s="465">
        <v>6411990</v>
      </c>
      <c r="J71" s="465">
        <v>6347987</v>
      </c>
      <c r="K71" s="465">
        <v>6314529</v>
      </c>
      <c r="L71" s="465">
        <v>6354444</v>
      </c>
      <c r="M71" s="465">
        <v>68059726</v>
      </c>
    </row>
    <row r="72" spans="1:13" hidden="1" x14ac:dyDescent="0.15">
      <c r="A72" s="464" t="s">
        <v>442</v>
      </c>
      <c r="B72" s="465">
        <v>642710</v>
      </c>
      <c r="C72" s="465">
        <v>652651</v>
      </c>
      <c r="D72" s="465">
        <v>658090</v>
      </c>
      <c r="E72" s="465">
        <v>676614</v>
      </c>
      <c r="F72" s="465">
        <v>761579</v>
      </c>
      <c r="G72" s="465">
        <v>668112</v>
      </c>
      <c r="H72" s="465">
        <v>643426</v>
      </c>
      <c r="I72" s="465">
        <v>643027</v>
      </c>
      <c r="J72" s="465">
        <v>692969</v>
      </c>
      <c r="K72" s="465">
        <v>633359</v>
      </c>
      <c r="L72" s="465">
        <v>614463</v>
      </c>
      <c r="M72" s="465">
        <v>7287000</v>
      </c>
    </row>
    <row r="73" spans="1:13" hidden="1" x14ac:dyDescent="0.15">
      <c r="A73" s="464" t="s">
        <v>443</v>
      </c>
      <c r="B73" s="463">
        <v>1.2379654847040227</v>
      </c>
      <c r="C73" s="463">
        <v>1.2004171558597663</v>
      </c>
      <c r="D73" s="463">
        <v>1.1814239833600855</v>
      </c>
      <c r="E73" s="463">
        <v>1.242420575381709</v>
      </c>
      <c r="F73" s="463">
        <v>1.4564474961337794</v>
      </c>
      <c r="G73" s="463">
        <v>1.2302225345181601</v>
      </c>
      <c r="H73" s="463">
        <v>1.1628122747026364</v>
      </c>
      <c r="I73" s="463">
        <v>1.1703287396984028</v>
      </c>
      <c r="J73" s="463">
        <v>1.3080111423096048</v>
      </c>
      <c r="K73" s="463">
        <v>1.1906291869150625</v>
      </c>
      <c r="L73" s="463">
        <v>1.1345153297467443</v>
      </c>
      <c r="M73" s="463">
        <v>13.515193903329971</v>
      </c>
    </row>
  </sheetData>
  <pageMargins left="0.25" right="0.25" top="0.75" bottom="0.75" header="0.3" footer="0.3"/>
  <pageSetup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AK63"/>
  <sheetViews>
    <sheetView workbookViewId="0">
      <pane xSplit="1" topLeftCell="B1" activePane="topRight" state="frozen"/>
      <selection activeCell="F69" sqref="F69"/>
      <selection pane="topRight" activeCell="D4" sqref="D4"/>
    </sheetView>
  </sheetViews>
  <sheetFormatPr defaultRowHeight="18.75" x14ac:dyDescent="0.3"/>
  <cols>
    <col min="2" max="2" width="24.8984375" customWidth="1"/>
    <col min="3" max="3" width="18.59765625" customWidth="1"/>
    <col min="4" max="4" width="22.8984375" customWidth="1"/>
    <col min="5" max="5" width="22.5" customWidth="1"/>
    <col min="6" max="6" width="20" customWidth="1"/>
    <col min="7" max="7" width="24.296875" customWidth="1"/>
    <col min="8" max="8" width="23.8984375" customWidth="1"/>
    <col min="9" max="9" width="14.69921875" customWidth="1"/>
    <col min="10" max="10" width="20.5" customWidth="1"/>
    <col min="11" max="11" width="16.19921875" customWidth="1"/>
    <col min="22" max="22" width="12.5" customWidth="1"/>
  </cols>
  <sheetData>
    <row r="1" spans="1:11" x14ac:dyDescent="0.3">
      <c r="C1" s="595" t="s">
        <v>30</v>
      </c>
      <c r="D1" s="595"/>
      <c r="E1" s="595"/>
      <c r="F1" s="595"/>
      <c r="G1" s="595"/>
      <c r="H1" s="595"/>
      <c r="I1" s="595"/>
      <c r="J1" s="595"/>
      <c r="K1" s="595"/>
    </row>
    <row r="2" spans="1:11" s="2" customFormat="1" x14ac:dyDescent="0.3">
      <c r="A2" s="2" t="s">
        <v>329</v>
      </c>
      <c r="B2" s="183" t="s">
        <v>115</v>
      </c>
      <c r="C2" s="176" t="s">
        <v>1</v>
      </c>
      <c r="D2" s="176" t="s">
        <v>116</v>
      </c>
      <c r="E2" s="177" t="s">
        <v>117</v>
      </c>
      <c r="F2" s="176" t="s">
        <v>118</v>
      </c>
      <c r="G2" s="176" t="s">
        <v>119</v>
      </c>
      <c r="H2" s="177" t="s">
        <v>120</v>
      </c>
      <c r="I2" s="184" t="s">
        <v>121</v>
      </c>
      <c r="J2" s="176" t="s">
        <v>122</v>
      </c>
      <c r="K2" s="221" t="s">
        <v>3</v>
      </c>
    </row>
    <row r="3" spans="1:11" x14ac:dyDescent="0.3">
      <c r="A3">
        <v>0</v>
      </c>
      <c r="B3" s="136" t="s">
        <v>134</v>
      </c>
      <c r="C3" s="137">
        <v>170461</v>
      </c>
      <c r="D3" s="137">
        <v>330012</v>
      </c>
      <c r="E3" s="419">
        <v>0.52</v>
      </c>
      <c r="F3" s="137">
        <v>207450</v>
      </c>
      <c r="G3" s="137">
        <v>264497</v>
      </c>
      <c r="H3" s="419">
        <v>0.78</v>
      </c>
      <c r="I3" s="138">
        <v>2943748234</v>
      </c>
      <c r="J3" s="137">
        <v>205582</v>
      </c>
      <c r="K3" s="138">
        <v>14319</v>
      </c>
    </row>
    <row r="4" spans="1:11" x14ac:dyDescent="0.3">
      <c r="A4">
        <v>1</v>
      </c>
      <c r="B4" s="136" t="s">
        <v>107</v>
      </c>
      <c r="C4" s="137">
        <v>8393</v>
      </c>
      <c r="D4" s="137">
        <v>16910</v>
      </c>
      <c r="E4" s="419">
        <v>0.5</v>
      </c>
      <c r="F4" s="137">
        <v>8026</v>
      </c>
      <c r="G4" s="137">
        <v>10301</v>
      </c>
      <c r="H4" s="419">
        <v>0.78</v>
      </c>
      <c r="I4" s="138">
        <v>109023482</v>
      </c>
      <c r="J4" s="137">
        <v>7956</v>
      </c>
      <c r="K4" s="138">
        <v>13703</v>
      </c>
    </row>
    <row r="5" spans="1:11" x14ac:dyDescent="0.3">
      <c r="A5">
        <v>2</v>
      </c>
      <c r="B5" s="136" t="s">
        <v>127</v>
      </c>
      <c r="C5" s="137">
        <v>13944</v>
      </c>
      <c r="D5" s="137">
        <v>28075</v>
      </c>
      <c r="E5" s="419">
        <v>0.5</v>
      </c>
      <c r="F5" s="137">
        <v>13263</v>
      </c>
      <c r="G5" s="137">
        <v>17064</v>
      </c>
      <c r="H5" s="419">
        <v>0.78</v>
      </c>
      <c r="I5" s="138">
        <v>174206184</v>
      </c>
      <c r="J5" s="137">
        <v>13145</v>
      </c>
      <c r="K5" s="138">
        <v>13253</v>
      </c>
    </row>
    <row r="6" spans="1:11" x14ac:dyDescent="0.3">
      <c r="A6">
        <v>3</v>
      </c>
      <c r="B6" s="136" t="s">
        <v>126</v>
      </c>
      <c r="C6" s="137">
        <v>9221</v>
      </c>
      <c r="D6" s="137">
        <v>17180</v>
      </c>
      <c r="E6" s="419">
        <v>0.54</v>
      </c>
      <c r="F6" s="137">
        <v>8908</v>
      </c>
      <c r="G6" s="137">
        <v>11313</v>
      </c>
      <c r="H6" s="419">
        <v>0.79</v>
      </c>
      <c r="I6" s="138">
        <v>124333527</v>
      </c>
      <c r="J6" s="137">
        <v>8827</v>
      </c>
      <c r="K6" s="138">
        <v>14086</v>
      </c>
    </row>
    <row r="7" spans="1:11" x14ac:dyDescent="0.3">
      <c r="A7">
        <v>4</v>
      </c>
      <c r="B7" s="136" t="s">
        <v>129</v>
      </c>
      <c r="C7" s="137">
        <v>16958</v>
      </c>
      <c r="D7" s="137">
        <v>35616</v>
      </c>
      <c r="E7" s="419">
        <v>0.48</v>
      </c>
      <c r="F7" s="137">
        <v>15901</v>
      </c>
      <c r="G7" s="137">
        <v>20186</v>
      </c>
      <c r="H7" s="419">
        <v>0.79</v>
      </c>
      <c r="I7" s="138">
        <v>256156968</v>
      </c>
      <c r="J7" s="137">
        <v>15760</v>
      </c>
      <c r="K7" s="138">
        <v>16254</v>
      </c>
    </row>
    <row r="8" spans="1:11" x14ac:dyDescent="0.3">
      <c r="A8">
        <v>5</v>
      </c>
      <c r="B8" s="136" t="s">
        <v>128</v>
      </c>
      <c r="C8" s="137">
        <v>33414</v>
      </c>
      <c r="D8" s="137">
        <v>71781</v>
      </c>
      <c r="E8" s="419">
        <v>0.47</v>
      </c>
      <c r="F8" s="137">
        <v>29098</v>
      </c>
      <c r="G8" s="137">
        <v>36738</v>
      </c>
      <c r="H8" s="419">
        <v>0.79</v>
      </c>
      <c r="I8" s="138">
        <v>519704352</v>
      </c>
      <c r="J8" s="137">
        <v>28840</v>
      </c>
      <c r="K8" s="138">
        <v>18020</v>
      </c>
    </row>
    <row r="9" spans="1:11" x14ac:dyDescent="0.3">
      <c r="A9">
        <v>6</v>
      </c>
      <c r="B9" s="136" t="s">
        <v>133</v>
      </c>
      <c r="C9" s="137">
        <v>14838</v>
      </c>
      <c r="D9" s="137">
        <v>33055</v>
      </c>
      <c r="E9" s="419">
        <v>0.45</v>
      </c>
      <c r="F9" s="137">
        <v>15814</v>
      </c>
      <c r="G9" s="137">
        <v>20809</v>
      </c>
      <c r="H9" s="419">
        <v>0.76</v>
      </c>
      <c r="I9" s="138">
        <v>222613701</v>
      </c>
      <c r="J9" s="137">
        <v>15641</v>
      </c>
      <c r="K9" s="138">
        <v>14233</v>
      </c>
    </row>
    <row r="10" spans="1:11" x14ac:dyDescent="0.3">
      <c r="A10">
        <v>7</v>
      </c>
      <c r="B10" s="136" t="s">
        <v>131</v>
      </c>
      <c r="C10" s="137">
        <v>11694</v>
      </c>
      <c r="D10" s="137">
        <v>23793</v>
      </c>
      <c r="E10" s="419">
        <v>0.49</v>
      </c>
      <c r="F10" s="137">
        <v>12134</v>
      </c>
      <c r="G10" s="137">
        <v>15258</v>
      </c>
      <c r="H10" s="419">
        <v>0.8</v>
      </c>
      <c r="I10" s="138">
        <v>168663431</v>
      </c>
      <c r="J10" s="137">
        <v>12030</v>
      </c>
      <c r="K10" s="138">
        <v>14020</v>
      </c>
    </row>
    <row r="11" spans="1:11" x14ac:dyDescent="0.3">
      <c r="A11">
        <v>8</v>
      </c>
      <c r="B11" s="136" t="s">
        <v>125</v>
      </c>
      <c r="C11" s="137">
        <v>18641</v>
      </c>
      <c r="D11" s="137">
        <v>28326</v>
      </c>
      <c r="E11" s="419">
        <v>0.66</v>
      </c>
      <c r="F11" s="137">
        <v>17694</v>
      </c>
      <c r="G11" s="137">
        <v>22974</v>
      </c>
      <c r="H11" s="419">
        <v>0.77</v>
      </c>
      <c r="I11" s="138">
        <v>227951011</v>
      </c>
      <c r="J11" s="137">
        <v>17546</v>
      </c>
      <c r="K11" s="138">
        <v>12992</v>
      </c>
    </row>
    <row r="12" spans="1:11" x14ac:dyDescent="0.3">
      <c r="A12">
        <v>9</v>
      </c>
      <c r="B12" s="136" t="s">
        <v>130</v>
      </c>
      <c r="C12" s="137">
        <v>16058</v>
      </c>
      <c r="D12" s="137">
        <v>26341</v>
      </c>
      <c r="E12" s="419">
        <v>0.61</v>
      </c>
      <c r="F12" s="137">
        <v>15236</v>
      </c>
      <c r="G12" s="137">
        <v>19866</v>
      </c>
      <c r="H12" s="419">
        <v>0.77</v>
      </c>
      <c r="I12" s="138">
        <v>172746588</v>
      </c>
      <c r="J12" s="137">
        <v>15085</v>
      </c>
      <c r="K12" s="138">
        <v>11452</v>
      </c>
    </row>
    <row r="13" spans="1:11" x14ac:dyDescent="0.3">
      <c r="A13">
        <v>10</v>
      </c>
      <c r="B13" s="136" t="s">
        <v>124</v>
      </c>
      <c r="C13" s="137">
        <v>5941</v>
      </c>
      <c r="D13" s="137">
        <v>10517</v>
      </c>
      <c r="E13" s="419">
        <v>0.56000000000000005</v>
      </c>
      <c r="F13" s="137">
        <v>5922</v>
      </c>
      <c r="G13" s="137">
        <v>7553</v>
      </c>
      <c r="H13" s="419">
        <v>0.78</v>
      </c>
      <c r="I13" s="138">
        <v>73165257</v>
      </c>
      <c r="J13" s="137">
        <v>5880</v>
      </c>
      <c r="K13" s="138">
        <v>12443</v>
      </c>
    </row>
    <row r="14" spans="1:11" x14ac:dyDescent="0.3">
      <c r="A14">
        <v>11</v>
      </c>
      <c r="B14" s="136" t="s">
        <v>123</v>
      </c>
      <c r="C14" s="139">
        <v>9772</v>
      </c>
      <c r="D14" s="139">
        <v>15197</v>
      </c>
      <c r="E14" s="418">
        <v>0.64</v>
      </c>
      <c r="F14" s="139">
        <v>10430</v>
      </c>
      <c r="G14" s="139">
        <v>13055</v>
      </c>
      <c r="H14" s="418">
        <v>0.8</v>
      </c>
      <c r="I14" s="140">
        <v>145821623</v>
      </c>
      <c r="J14" s="139">
        <v>10331</v>
      </c>
      <c r="K14" s="140">
        <v>14115</v>
      </c>
    </row>
    <row r="15" spans="1:11" x14ac:dyDescent="0.3">
      <c r="A15">
        <v>12</v>
      </c>
      <c r="B15" s="136" t="s">
        <v>132</v>
      </c>
      <c r="C15" s="137">
        <v>11550</v>
      </c>
      <c r="D15" s="137">
        <v>23137</v>
      </c>
      <c r="E15" s="419">
        <v>0.5</v>
      </c>
      <c r="F15" s="137">
        <v>11232</v>
      </c>
      <c r="G15" s="137">
        <v>14431</v>
      </c>
      <c r="H15" s="419">
        <v>0.78</v>
      </c>
      <c r="I15" s="138">
        <v>137126505</v>
      </c>
      <c r="J15" s="137">
        <v>11117</v>
      </c>
      <c r="K15" s="138">
        <v>12335</v>
      </c>
    </row>
    <row r="16" spans="1:11" x14ac:dyDescent="0.3">
      <c r="B16" s="174" t="s">
        <v>203</v>
      </c>
      <c r="C16" s="417">
        <v>0.5</v>
      </c>
      <c r="D16" s="175" t="s">
        <v>204</v>
      </c>
      <c r="E16" s="417">
        <v>0.76600000000000001</v>
      </c>
      <c r="F16" s="175" t="s">
        <v>205</v>
      </c>
      <c r="G16" s="185">
        <v>13500</v>
      </c>
      <c r="H16" s="172"/>
      <c r="I16" s="173"/>
      <c r="J16" s="171"/>
      <c r="K16" s="173"/>
    </row>
    <row r="17" spans="1:37" x14ac:dyDescent="0.3">
      <c r="C17" s="596" t="s">
        <v>168</v>
      </c>
      <c r="D17" s="596"/>
      <c r="E17" s="596"/>
      <c r="F17" s="596"/>
      <c r="G17" s="596"/>
      <c r="H17" s="596"/>
      <c r="I17" s="596"/>
      <c r="J17" s="596"/>
      <c r="K17" s="596"/>
    </row>
    <row r="18" spans="1:37" s="2" customFormat="1" ht="93.75" x14ac:dyDescent="0.3">
      <c r="B18" s="181" t="s">
        <v>169</v>
      </c>
      <c r="C18" s="181" t="s">
        <v>170</v>
      </c>
      <c r="D18" s="182" t="s">
        <v>171</v>
      </c>
      <c r="E18" s="182" t="s">
        <v>206</v>
      </c>
      <c r="F18" s="181" t="s">
        <v>211</v>
      </c>
      <c r="G18" s="181" t="s">
        <v>212</v>
      </c>
      <c r="H18" s="182" t="s">
        <v>213</v>
      </c>
      <c r="I18" s="180" t="s">
        <v>214</v>
      </c>
      <c r="J18" s="181" t="s">
        <v>219</v>
      </c>
      <c r="K18" s="181" t="s">
        <v>220</v>
      </c>
      <c r="L18" s="182" t="s">
        <v>221</v>
      </c>
      <c r="M18" s="180" t="s">
        <v>222</v>
      </c>
      <c r="N18" s="181" t="s">
        <v>172</v>
      </c>
      <c r="O18" s="181" t="s">
        <v>173</v>
      </c>
      <c r="P18" s="182" t="s">
        <v>174</v>
      </c>
      <c r="Q18" s="180" t="s">
        <v>207</v>
      </c>
      <c r="R18" s="181" t="s">
        <v>215</v>
      </c>
      <c r="S18" s="181" t="s">
        <v>216</v>
      </c>
      <c r="T18" s="182" t="s">
        <v>217</v>
      </c>
      <c r="U18" s="180" t="s">
        <v>218</v>
      </c>
      <c r="V18" s="181" t="s">
        <v>223</v>
      </c>
      <c r="W18" s="181" t="s">
        <v>224</v>
      </c>
      <c r="X18" s="182" t="s">
        <v>225</v>
      </c>
      <c r="Y18" s="180" t="s">
        <v>226</v>
      </c>
      <c r="Z18" s="178" t="s">
        <v>175</v>
      </c>
      <c r="AA18" s="178" t="s">
        <v>176</v>
      </c>
      <c r="AB18" s="178" t="s">
        <v>177</v>
      </c>
      <c r="AC18" s="178" t="s">
        <v>208</v>
      </c>
      <c r="AD18" s="179" t="s">
        <v>178</v>
      </c>
      <c r="AE18" s="179" t="s">
        <v>179</v>
      </c>
      <c r="AF18" s="179" t="s">
        <v>180</v>
      </c>
      <c r="AG18" s="179" t="s">
        <v>209</v>
      </c>
      <c r="AH18" s="179" t="s">
        <v>181</v>
      </c>
      <c r="AI18" s="179" t="s">
        <v>182</v>
      </c>
      <c r="AJ18" s="179" t="s">
        <v>183</v>
      </c>
      <c r="AK18" s="2" t="s">
        <v>210</v>
      </c>
    </row>
    <row r="19" spans="1:37" x14ac:dyDescent="0.3">
      <c r="A19">
        <v>0</v>
      </c>
      <c r="B19" s="190">
        <v>2041</v>
      </c>
      <c r="C19" s="190">
        <v>2661</v>
      </c>
      <c r="D19" s="191">
        <v>0.76700488538143552</v>
      </c>
      <c r="E19" s="192">
        <v>0.752</v>
      </c>
      <c r="F19" s="190">
        <v>1962</v>
      </c>
      <c r="G19" s="190">
        <v>2297</v>
      </c>
      <c r="H19" s="191">
        <v>0.85415759686547665</v>
      </c>
      <c r="I19" s="192">
        <v>0.81</v>
      </c>
      <c r="J19" s="193">
        <v>25170096</v>
      </c>
      <c r="K19" s="190">
        <v>1944</v>
      </c>
      <c r="L19" s="193">
        <v>12947.58024691358</v>
      </c>
      <c r="M19" s="194">
        <v>9456</v>
      </c>
      <c r="N19" s="190">
        <v>2777</v>
      </c>
      <c r="O19" s="190">
        <v>3344</v>
      </c>
      <c r="P19" s="191">
        <v>0.83044258373205737</v>
      </c>
      <c r="Q19" s="192">
        <v>0.73599999999999999</v>
      </c>
      <c r="R19" s="190">
        <v>2343</v>
      </c>
      <c r="S19" s="190">
        <v>2629</v>
      </c>
      <c r="T19" s="191">
        <v>0.89121338912133896</v>
      </c>
      <c r="U19" s="192">
        <v>0.83899999999999997</v>
      </c>
      <c r="V19" s="193">
        <v>44669652</v>
      </c>
      <c r="W19" s="190">
        <v>2312</v>
      </c>
      <c r="X19" s="193">
        <v>19320.783737024223</v>
      </c>
      <c r="Y19" s="194">
        <v>14043</v>
      </c>
      <c r="Z19" s="190">
        <v>1241</v>
      </c>
      <c r="AA19" s="190">
        <v>1621</v>
      </c>
      <c r="AB19" s="191">
        <v>0.76557680444170262</v>
      </c>
      <c r="AC19" s="192">
        <v>0.753</v>
      </c>
      <c r="AD19" s="195">
        <v>408</v>
      </c>
      <c r="AE19" s="195">
        <v>751</v>
      </c>
      <c r="AF19" s="191">
        <v>0.54327563249001332</v>
      </c>
      <c r="AG19" s="192">
        <v>0.44</v>
      </c>
      <c r="AH19" s="190">
        <v>1241</v>
      </c>
      <c r="AI19" s="190">
        <v>1861</v>
      </c>
      <c r="AJ19" s="191">
        <v>0.6668457818377217</v>
      </c>
      <c r="AK19" s="192">
        <v>0.53900000000000003</v>
      </c>
    </row>
    <row r="20" spans="1:37" x14ac:dyDescent="0.3">
      <c r="A20">
        <v>1</v>
      </c>
      <c r="B20" s="195">
        <v>150</v>
      </c>
      <c r="C20" s="195">
        <v>185</v>
      </c>
      <c r="D20" s="191">
        <v>0.81081081081081086</v>
      </c>
      <c r="E20" s="191">
        <v>0.77500000000000002</v>
      </c>
      <c r="F20" s="195">
        <v>130</v>
      </c>
      <c r="G20" s="195">
        <v>149</v>
      </c>
      <c r="H20" s="191">
        <v>0.87248322147651003</v>
      </c>
      <c r="I20" s="191">
        <v>0.82</v>
      </c>
      <c r="J20" s="193">
        <v>1721700</v>
      </c>
      <c r="K20" s="195">
        <v>122</v>
      </c>
      <c r="L20" s="193">
        <v>14112.295081967213</v>
      </c>
      <c r="M20" s="193">
        <v>9721</v>
      </c>
      <c r="N20" s="195">
        <v>191</v>
      </c>
      <c r="O20" s="195">
        <v>239</v>
      </c>
      <c r="P20" s="191">
        <v>0.79916317991631802</v>
      </c>
      <c r="Q20" s="192">
        <v>0.77400000000000002</v>
      </c>
      <c r="R20" s="195">
        <v>130</v>
      </c>
      <c r="S20" s="195">
        <v>152</v>
      </c>
      <c r="T20" s="191">
        <v>0.85526315789473684</v>
      </c>
      <c r="U20" s="192">
        <v>0.84199999999999997</v>
      </c>
      <c r="V20" s="193">
        <v>2176433</v>
      </c>
      <c r="W20" s="195">
        <v>116</v>
      </c>
      <c r="X20" s="193">
        <v>18762.353448275862</v>
      </c>
      <c r="Y20" s="194">
        <v>14926</v>
      </c>
      <c r="Z20" s="195">
        <v>44</v>
      </c>
      <c r="AA20" s="195">
        <v>55</v>
      </c>
      <c r="AB20" s="191">
        <v>0.8</v>
      </c>
      <c r="AC20" s="192">
        <v>0.66500000000000004</v>
      </c>
      <c r="AD20" s="195">
        <v>15</v>
      </c>
      <c r="AE20" s="195">
        <v>23</v>
      </c>
      <c r="AF20" s="191">
        <v>0.65217391304347827</v>
      </c>
      <c r="AG20" s="192">
        <v>0.34599999999999997</v>
      </c>
      <c r="AH20" s="195">
        <v>50</v>
      </c>
      <c r="AI20" s="195">
        <v>65</v>
      </c>
      <c r="AJ20" s="191">
        <v>0.76923076923076927</v>
      </c>
      <c r="AK20" s="192">
        <v>0.58799999999999997</v>
      </c>
    </row>
    <row r="21" spans="1:37" x14ac:dyDescent="0.3">
      <c r="A21">
        <v>2</v>
      </c>
      <c r="B21" s="195">
        <v>262</v>
      </c>
      <c r="C21" s="195">
        <v>310</v>
      </c>
      <c r="D21" s="191">
        <v>0.84516129032258069</v>
      </c>
      <c r="E21" s="192">
        <v>0.754</v>
      </c>
      <c r="F21" s="195">
        <v>239</v>
      </c>
      <c r="G21" s="195">
        <v>280</v>
      </c>
      <c r="H21" s="191">
        <v>0.85357142857142854</v>
      </c>
      <c r="I21" s="192">
        <v>0.81299999999999994</v>
      </c>
      <c r="J21" s="193">
        <v>2952430</v>
      </c>
      <c r="K21" s="195">
        <v>235</v>
      </c>
      <c r="L21" s="193">
        <v>12563.531914893618</v>
      </c>
      <c r="M21" s="194">
        <v>9735</v>
      </c>
      <c r="N21" s="195">
        <v>233</v>
      </c>
      <c r="O21" s="195">
        <v>285</v>
      </c>
      <c r="P21" s="191">
        <v>0.81754385964912279</v>
      </c>
      <c r="Q21" s="192">
        <v>0.72199999999999998</v>
      </c>
      <c r="R21" s="195">
        <v>282</v>
      </c>
      <c r="S21" s="195">
        <v>310</v>
      </c>
      <c r="T21" s="191">
        <v>0.9096774193548387</v>
      </c>
      <c r="U21" s="192">
        <v>0.81899999999999995</v>
      </c>
      <c r="V21" s="193">
        <v>5031588</v>
      </c>
      <c r="W21" s="195">
        <v>278</v>
      </c>
      <c r="X21" s="193">
        <v>18099.237410071943</v>
      </c>
      <c r="Y21" s="194">
        <v>13165</v>
      </c>
      <c r="Z21" s="195">
        <v>71</v>
      </c>
      <c r="AA21" s="195">
        <v>96</v>
      </c>
      <c r="AB21" s="191">
        <v>0.73958333333333337</v>
      </c>
      <c r="AC21" s="192">
        <v>0.72099999999999997</v>
      </c>
      <c r="AD21" s="195">
        <v>33</v>
      </c>
      <c r="AE21" s="195">
        <v>44</v>
      </c>
      <c r="AF21" s="191">
        <v>0.75</v>
      </c>
      <c r="AG21" s="192">
        <v>0.496</v>
      </c>
      <c r="AH21" s="195">
        <v>102</v>
      </c>
      <c r="AI21" s="195">
        <v>117</v>
      </c>
      <c r="AJ21" s="191">
        <v>0.87179487179487181</v>
      </c>
      <c r="AK21" s="192">
        <v>0.51500000000000001</v>
      </c>
    </row>
    <row r="22" spans="1:37" x14ac:dyDescent="0.3">
      <c r="A22">
        <v>3</v>
      </c>
      <c r="B22" s="195">
        <v>81</v>
      </c>
      <c r="C22" s="195">
        <v>96</v>
      </c>
      <c r="D22" s="191">
        <v>0.84375</v>
      </c>
      <c r="E22" s="192">
        <v>0.73699999999999999</v>
      </c>
      <c r="F22" s="195">
        <v>102</v>
      </c>
      <c r="G22" s="195">
        <v>119</v>
      </c>
      <c r="H22" s="191">
        <v>0.8571428571428571</v>
      </c>
      <c r="I22" s="192">
        <v>0.83699999999999997</v>
      </c>
      <c r="J22" s="193">
        <v>1533357</v>
      </c>
      <c r="K22" s="195">
        <v>102</v>
      </c>
      <c r="L22" s="193">
        <v>15032.911764705883</v>
      </c>
      <c r="M22" s="194">
        <v>10267</v>
      </c>
      <c r="N22" s="195">
        <v>140</v>
      </c>
      <c r="O22" s="195">
        <v>162</v>
      </c>
      <c r="P22" s="191">
        <v>0.86419753086419748</v>
      </c>
      <c r="Q22" s="192">
        <v>0.72</v>
      </c>
      <c r="R22" s="195">
        <v>142</v>
      </c>
      <c r="S22" s="195">
        <v>157</v>
      </c>
      <c r="T22" s="191">
        <v>0.90445859872611467</v>
      </c>
      <c r="U22" s="192">
        <v>0.84199999999999997</v>
      </c>
      <c r="V22" s="193">
        <v>2553324</v>
      </c>
      <c r="W22" s="195">
        <v>140</v>
      </c>
      <c r="X22" s="193">
        <v>18238.028571428571</v>
      </c>
      <c r="Y22" s="194">
        <v>16298</v>
      </c>
      <c r="Z22" s="195">
        <v>58</v>
      </c>
      <c r="AA22" s="195">
        <v>71</v>
      </c>
      <c r="AB22" s="191">
        <v>0.81690140845070425</v>
      </c>
      <c r="AC22" s="192">
        <v>0.75600000000000001</v>
      </c>
      <c r="AD22" s="195">
        <v>11</v>
      </c>
      <c r="AE22" s="195">
        <v>20</v>
      </c>
      <c r="AF22" s="191">
        <v>0.55000000000000004</v>
      </c>
      <c r="AG22" s="192">
        <v>0.33400000000000002</v>
      </c>
      <c r="AH22" s="195">
        <v>63</v>
      </c>
      <c r="AI22" s="195">
        <v>77</v>
      </c>
      <c r="AJ22" s="191">
        <v>0.81818181818181823</v>
      </c>
      <c r="AK22" s="192">
        <v>0.55000000000000004</v>
      </c>
    </row>
    <row r="23" spans="1:37" x14ac:dyDescent="0.3">
      <c r="A23">
        <v>4</v>
      </c>
      <c r="B23" s="195">
        <v>94</v>
      </c>
      <c r="C23" s="195">
        <v>129</v>
      </c>
      <c r="D23" s="191">
        <v>0.72868217054263562</v>
      </c>
      <c r="E23" s="192">
        <v>0.70699999999999996</v>
      </c>
      <c r="F23" s="195">
        <v>71</v>
      </c>
      <c r="G23" s="195">
        <v>81</v>
      </c>
      <c r="H23" s="191">
        <v>0.87654320987654322</v>
      </c>
      <c r="I23" s="192">
        <v>0.80900000000000005</v>
      </c>
      <c r="J23" s="193">
        <v>955900</v>
      </c>
      <c r="K23" s="195">
        <v>71</v>
      </c>
      <c r="L23" s="193">
        <v>13463.380281690141</v>
      </c>
      <c r="M23" s="194">
        <v>9616</v>
      </c>
      <c r="N23" s="195">
        <v>254</v>
      </c>
      <c r="O23" s="195">
        <v>282</v>
      </c>
      <c r="P23" s="191">
        <v>0.900709219858156</v>
      </c>
      <c r="Q23" s="196">
        <v>0.71099999999999997</v>
      </c>
      <c r="R23" s="195">
        <v>183</v>
      </c>
      <c r="S23" s="195">
        <v>194</v>
      </c>
      <c r="T23" s="191">
        <v>0.94329896907216493</v>
      </c>
      <c r="U23" s="192">
        <v>0.83499999999999996</v>
      </c>
      <c r="V23" s="193">
        <v>4447925</v>
      </c>
      <c r="W23" s="195">
        <v>183</v>
      </c>
      <c r="X23" s="193">
        <v>24305.601092896173</v>
      </c>
      <c r="Y23" s="194">
        <v>15913</v>
      </c>
      <c r="Z23" s="195">
        <v>129</v>
      </c>
      <c r="AA23" s="195">
        <v>212</v>
      </c>
      <c r="AB23" s="191">
        <v>0.60849056603773588</v>
      </c>
      <c r="AC23" s="192">
        <v>0.77700000000000002</v>
      </c>
      <c r="AD23" s="195">
        <v>37</v>
      </c>
      <c r="AE23" s="195">
        <v>59</v>
      </c>
      <c r="AF23" s="191">
        <v>0.6271186440677966</v>
      </c>
      <c r="AG23" s="192">
        <v>0.47599999999999998</v>
      </c>
      <c r="AH23" s="195">
        <v>82</v>
      </c>
      <c r="AI23" s="195">
        <v>199</v>
      </c>
      <c r="AJ23" s="191">
        <v>0.4120603015075377</v>
      </c>
      <c r="AK23" s="192">
        <v>0.47099999999999997</v>
      </c>
    </row>
    <row r="24" spans="1:37" x14ac:dyDescent="0.3">
      <c r="A24">
        <v>5</v>
      </c>
      <c r="B24" s="195">
        <v>255</v>
      </c>
      <c r="C24" s="195">
        <v>324</v>
      </c>
      <c r="D24" s="191">
        <v>0.78703703703703709</v>
      </c>
      <c r="E24" s="192">
        <v>0.71399999999999997</v>
      </c>
      <c r="F24" s="195">
        <v>261</v>
      </c>
      <c r="G24" s="195">
        <v>288</v>
      </c>
      <c r="H24" s="191">
        <v>0.90625</v>
      </c>
      <c r="I24" s="192">
        <v>0.81899999999999995</v>
      </c>
      <c r="J24" s="193">
        <v>3749239</v>
      </c>
      <c r="K24" s="195">
        <v>261</v>
      </c>
      <c r="L24" s="193">
        <v>14364.900383141763</v>
      </c>
      <c r="M24" s="194">
        <v>10744</v>
      </c>
      <c r="N24" s="195">
        <v>554</v>
      </c>
      <c r="O24" s="195">
        <v>669</v>
      </c>
      <c r="P24" s="191">
        <v>0.82810164424514199</v>
      </c>
      <c r="Q24" s="192">
        <v>0.67600000000000005</v>
      </c>
      <c r="R24" s="195">
        <v>360</v>
      </c>
      <c r="S24" s="195">
        <v>401</v>
      </c>
      <c r="T24" s="191">
        <v>0.89775561097256862</v>
      </c>
      <c r="U24" s="192">
        <v>0.83699999999999997</v>
      </c>
      <c r="V24" s="193">
        <v>8925782</v>
      </c>
      <c r="W24" s="195">
        <v>360</v>
      </c>
      <c r="X24" s="193">
        <v>24793.838888888888</v>
      </c>
      <c r="Y24" s="194">
        <v>16234</v>
      </c>
      <c r="Z24" s="195">
        <v>206</v>
      </c>
      <c r="AA24" s="195">
        <v>252</v>
      </c>
      <c r="AB24" s="191">
        <v>0.81746031746031744</v>
      </c>
      <c r="AC24" s="192">
        <v>0.75800000000000001</v>
      </c>
      <c r="AD24" s="195">
        <v>55</v>
      </c>
      <c r="AE24" s="195">
        <v>152</v>
      </c>
      <c r="AF24" s="191">
        <v>0.36184210526315791</v>
      </c>
      <c r="AG24" s="192">
        <v>0.40200000000000002</v>
      </c>
      <c r="AH24" s="195">
        <v>195</v>
      </c>
      <c r="AI24" s="195">
        <v>251</v>
      </c>
      <c r="AJ24" s="191">
        <v>0.77689243027888444</v>
      </c>
      <c r="AK24" s="192">
        <v>0.55000000000000004</v>
      </c>
    </row>
    <row r="25" spans="1:37" x14ac:dyDescent="0.3">
      <c r="A25">
        <v>6</v>
      </c>
      <c r="B25" s="195">
        <v>110</v>
      </c>
      <c r="C25" s="195">
        <v>141</v>
      </c>
      <c r="D25" s="191">
        <v>0.78014184397163122</v>
      </c>
      <c r="E25" s="192">
        <v>0.73199999999999998</v>
      </c>
      <c r="F25" s="195">
        <v>108</v>
      </c>
      <c r="G25" s="195">
        <v>129</v>
      </c>
      <c r="H25" s="191">
        <v>0.83720930232558144</v>
      </c>
      <c r="I25" s="192">
        <v>0.80900000000000005</v>
      </c>
      <c r="J25" s="193">
        <v>1397487</v>
      </c>
      <c r="K25" s="195">
        <v>108</v>
      </c>
      <c r="L25" s="193">
        <v>12939.694444444445</v>
      </c>
      <c r="M25" s="194">
        <v>9461</v>
      </c>
      <c r="N25" s="195">
        <v>179</v>
      </c>
      <c r="O25" s="195">
        <v>203</v>
      </c>
      <c r="P25" s="191">
        <v>0.88177339901477836</v>
      </c>
      <c r="Q25" s="191">
        <v>0.74399999999999999</v>
      </c>
      <c r="R25" s="195">
        <v>119</v>
      </c>
      <c r="S25" s="195">
        <v>133</v>
      </c>
      <c r="T25" s="191">
        <v>0.89473684210526316</v>
      </c>
      <c r="U25" s="192">
        <v>0.84099999999999997</v>
      </c>
      <c r="V25" s="193">
        <v>2143034</v>
      </c>
      <c r="W25" s="195">
        <v>119</v>
      </c>
      <c r="X25" s="193">
        <v>18008.689075630253</v>
      </c>
      <c r="Y25" s="194">
        <v>13763</v>
      </c>
      <c r="Z25" s="195">
        <v>113</v>
      </c>
      <c r="AA25" s="195">
        <v>164</v>
      </c>
      <c r="AB25" s="191">
        <v>0.68902439024390238</v>
      </c>
      <c r="AC25" s="192">
        <v>0.755</v>
      </c>
      <c r="AD25" s="195">
        <v>35</v>
      </c>
      <c r="AE25" s="195">
        <v>97</v>
      </c>
      <c r="AF25" s="191">
        <v>0.36082474226804123</v>
      </c>
      <c r="AG25" s="192">
        <v>0.438</v>
      </c>
      <c r="AH25" s="195">
        <v>142</v>
      </c>
      <c r="AI25" s="195">
        <v>223</v>
      </c>
      <c r="AJ25" s="191">
        <v>0.63677130044843044</v>
      </c>
      <c r="AK25" s="192">
        <v>0.55900000000000005</v>
      </c>
    </row>
    <row r="26" spans="1:37" x14ac:dyDescent="0.3">
      <c r="A26">
        <v>7</v>
      </c>
      <c r="B26" s="195">
        <v>509</v>
      </c>
      <c r="C26" s="195">
        <v>747</v>
      </c>
      <c r="D26" s="191">
        <v>0.68139223560910311</v>
      </c>
      <c r="E26" s="192">
        <v>0.67900000000000005</v>
      </c>
      <c r="F26" s="195">
        <v>519</v>
      </c>
      <c r="G26" s="195">
        <v>630</v>
      </c>
      <c r="H26" s="191">
        <v>0.82380952380952377</v>
      </c>
      <c r="I26" s="192">
        <v>0.755</v>
      </c>
      <c r="J26" s="193">
        <v>6553295</v>
      </c>
      <c r="K26" s="195">
        <v>519</v>
      </c>
      <c r="L26" s="193">
        <v>12626.772639691715</v>
      </c>
      <c r="M26" s="194">
        <v>6336</v>
      </c>
      <c r="N26" s="195">
        <v>454</v>
      </c>
      <c r="O26" s="195">
        <v>584</v>
      </c>
      <c r="P26" s="191">
        <v>0.7773972602739726</v>
      </c>
      <c r="Q26" s="192">
        <v>0.70299999999999996</v>
      </c>
      <c r="R26" s="195">
        <v>389</v>
      </c>
      <c r="S26" s="195">
        <v>451</v>
      </c>
      <c r="T26" s="191">
        <v>0.86252771618625279</v>
      </c>
      <c r="U26" s="192">
        <v>0.82099999999999995</v>
      </c>
      <c r="V26" s="193">
        <v>6701177</v>
      </c>
      <c r="W26" s="195">
        <v>389</v>
      </c>
      <c r="X26" s="193">
        <v>17226.676092544989</v>
      </c>
      <c r="Y26" s="194">
        <v>8730</v>
      </c>
      <c r="Z26" s="195">
        <v>124</v>
      </c>
      <c r="AA26" s="195">
        <v>140</v>
      </c>
      <c r="AB26" s="191">
        <v>0.88571428571428568</v>
      </c>
      <c r="AC26" s="192">
        <v>0.80600000000000005</v>
      </c>
      <c r="AD26" s="195">
        <v>16</v>
      </c>
      <c r="AE26" s="195">
        <v>27</v>
      </c>
      <c r="AF26" s="191">
        <v>0.59259259259259256</v>
      </c>
      <c r="AG26" s="192">
        <v>0.59199999999999997</v>
      </c>
      <c r="AH26" s="195">
        <v>116</v>
      </c>
      <c r="AI26" s="195">
        <v>145</v>
      </c>
      <c r="AJ26" s="191">
        <v>0.8</v>
      </c>
      <c r="AK26" s="192">
        <v>0.42599999999999999</v>
      </c>
    </row>
    <row r="27" spans="1:37" x14ac:dyDescent="0.3">
      <c r="A27">
        <v>8</v>
      </c>
      <c r="B27" s="195">
        <v>103</v>
      </c>
      <c r="C27" s="195">
        <v>142</v>
      </c>
      <c r="D27" s="191">
        <v>0.72535211267605637</v>
      </c>
      <c r="E27" s="192">
        <v>0.78600000000000003</v>
      </c>
      <c r="F27" s="195">
        <v>132</v>
      </c>
      <c r="G27" s="195">
        <v>154</v>
      </c>
      <c r="H27" s="191">
        <v>0.8571428571428571</v>
      </c>
      <c r="I27" s="192">
        <v>0.85799999999999998</v>
      </c>
      <c r="J27" s="193">
        <v>1638235</v>
      </c>
      <c r="K27" s="195">
        <v>132</v>
      </c>
      <c r="L27" s="193">
        <v>12410.871212121212</v>
      </c>
      <c r="M27" s="194">
        <v>9976</v>
      </c>
      <c r="N27" s="195">
        <v>156</v>
      </c>
      <c r="O27" s="195">
        <v>182</v>
      </c>
      <c r="P27" s="191">
        <v>0.8571428571428571</v>
      </c>
      <c r="Q27" s="192">
        <v>0.76900000000000002</v>
      </c>
      <c r="R27" s="195">
        <v>152</v>
      </c>
      <c r="S27" s="195">
        <v>171</v>
      </c>
      <c r="T27" s="191">
        <v>0.88888888888888884</v>
      </c>
      <c r="U27" s="192">
        <v>0.83499999999999996</v>
      </c>
      <c r="V27" s="193">
        <v>2344768</v>
      </c>
      <c r="W27" s="195">
        <v>152</v>
      </c>
      <c r="X27" s="193">
        <v>15426.105263157895</v>
      </c>
      <c r="Y27" s="194">
        <v>12502</v>
      </c>
      <c r="Z27" s="195">
        <v>96</v>
      </c>
      <c r="AA27" s="195">
        <v>115</v>
      </c>
      <c r="AB27" s="191">
        <v>0.83478260869565213</v>
      </c>
      <c r="AC27" s="192">
        <v>0.73599999999999999</v>
      </c>
      <c r="AD27" s="195">
        <v>67</v>
      </c>
      <c r="AE27" s="195">
        <v>116</v>
      </c>
      <c r="AF27" s="191">
        <v>0.57758620689655171</v>
      </c>
      <c r="AG27" s="192">
        <v>0.46100000000000002</v>
      </c>
      <c r="AH27" s="195">
        <v>79</v>
      </c>
      <c r="AI27" s="195">
        <v>150</v>
      </c>
      <c r="AJ27" s="191">
        <v>0.52666666666666662</v>
      </c>
      <c r="AK27" s="192">
        <v>0.53200000000000003</v>
      </c>
    </row>
    <row r="28" spans="1:37" x14ac:dyDescent="0.3">
      <c r="A28">
        <v>9</v>
      </c>
      <c r="B28" s="195">
        <v>106</v>
      </c>
      <c r="C28" s="195">
        <v>129</v>
      </c>
      <c r="D28" s="191">
        <v>0.82170542635658916</v>
      </c>
      <c r="E28" s="192">
        <v>0.82899999999999996</v>
      </c>
      <c r="F28" s="195">
        <v>109</v>
      </c>
      <c r="G28" s="195">
        <v>120</v>
      </c>
      <c r="H28" s="191">
        <v>0.90833333333333333</v>
      </c>
      <c r="I28" s="192">
        <v>0.82599999999999996</v>
      </c>
      <c r="J28" s="193">
        <v>1155818</v>
      </c>
      <c r="K28" s="195">
        <v>109</v>
      </c>
      <c r="L28" s="193">
        <v>10603.834862385322</v>
      </c>
      <c r="M28" s="194">
        <v>8973</v>
      </c>
      <c r="N28" s="195">
        <v>181</v>
      </c>
      <c r="O28" s="195">
        <v>223</v>
      </c>
      <c r="P28" s="191">
        <v>0.81165919282511212</v>
      </c>
      <c r="Q28" s="192">
        <v>0.76200000000000001</v>
      </c>
      <c r="R28" s="195">
        <v>171</v>
      </c>
      <c r="S28" s="195">
        <v>194</v>
      </c>
      <c r="T28" s="191">
        <v>0.88144329896907214</v>
      </c>
      <c r="U28" s="192">
        <v>0.85799999999999998</v>
      </c>
      <c r="V28" s="193">
        <v>2695634</v>
      </c>
      <c r="W28" s="195">
        <v>167</v>
      </c>
      <c r="X28" s="193">
        <v>16141.520958083833</v>
      </c>
      <c r="Y28" s="194">
        <v>13044</v>
      </c>
      <c r="Z28" s="195">
        <v>88</v>
      </c>
      <c r="AA28" s="195">
        <v>107</v>
      </c>
      <c r="AB28" s="191">
        <v>0.82242990654205606</v>
      </c>
      <c r="AC28" s="192">
        <v>0.72599999999999998</v>
      </c>
      <c r="AD28" s="195">
        <v>35</v>
      </c>
      <c r="AE28" s="195">
        <v>54</v>
      </c>
      <c r="AF28" s="191">
        <v>0.64814814814814814</v>
      </c>
      <c r="AG28" s="192">
        <v>0.51800000000000002</v>
      </c>
      <c r="AH28" s="195">
        <v>69</v>
      </c>
      <c r="AI28" s="195">
        <v>112</v>
      </c>
      <c r="AJ28" s="191">
        <v>0.6160714285714286</v>
      </c>
      <c r="AK28" s="192">
        <v>0.52</v>
      </c>
    </row>
    <row r="29" spans="1:37" x14ac:dyDescent="0.3">
      <c r="A29">
        <v>10</v>
      </c>
      <c r="B29" s="195">
        <v>119</v>
      </c>
      <c r="C29" s="195">
        <v>143</v>
      </c>
      <c r="D29" s="191">
        <v>0.83216783216783219</v>
      </c>
      <c r="E29" s="192">
        <v>0.79500000000000004</v>
      </c>
      <c r="F29" s="195">
        <v>96</v>
      </c>
      <c r="G29" s="195">
        <v>110</v>
      </c>
      <c r="H29" s="191">
        <v>0.87272727272727268</v>
      </c>
      <c r="I29" s="192">
        <v>0.85199999999999998</v>
      </c>
      <c r="J29" s="193">
        <v>1266559</v>
      </c>
      <c r="K29" s="195">
        <v>96</v>
      </c>
      <c r="L29" s="193">
        <v>13193.322916666666</v>
      </c>
      <c r="M29" s="194">
        <v>8102</v>
      </c>
      <c r="N29" s="195">
        <v>111</v>
      </c>
      <c r="O29" s="195">
        <v>130</v>
      </c>
      <c r="P29" s="191">
        <v>0.85384615384615381</v>
      </c>
      <c r="Q29" s="192">
        <v>0.754</v>
      </c>
      <c r="R29" s="195">
        <v>101</v>
      </c>
      <c r="S29" s="195">
        <v>110</v>
      </c>
      <c r="T29" s="191">
        <v>0.91818181818181821</v>
      </c>
      <c r="U29" s="192">
        <v>0.86</v>
      </c>
      <c r="V29" s="193">
        <v>1987528</v>
      </c>
      <c r="W29" s="195">
        <v>101</v>
      </c>
      <c r="X29" s="193">
        <v>19678.495049504949</v>
      </c>
      <c r="Y29" s="194">
        <v>15535</v>
      </c>
      <c r="Z29" s="195">
        <v>107</v>
      </c>
      <c r="AA29" s="195">
        <v>141</v>
      </c>
      <c r="AB29" s="191">
        <v>0.75886524822695034</v>
      </c>
      <c r="AC29" s="192">
        <v>0.77700000000000002</v>
      </c>
      <c r="AD29" s="195">
        <v>13</v>
      </c>
      <c r="AE29" s="195">
        <v>33</v>
      </c>
      <c r="AF29" s="191">
        <v>0.39393939393939392</v>
      </c>
      <c r="AG29" s="192">
        <v>0.498</v>
      </c>
      <c r="AH29" s="195">
        <v>100</v>
      </c>
      <c r="AI29" s="195">
        <v>172</v>
      </c>
      <c r="AJ29" s="191">
        <v>0.58139534883720934</v>
      </c>
      <c r="AK29" s="192">
        <v>0.53900000000000003</v>
      </c>
    </row>
    <row r="30" spans="1:37" x14ac:dyDescent="0.3">
      <c r="A30">
        <v>11</v>
      </c>
      <c r="B30" s="195">
        <v>76</v>
      </c>
      <c r="C30" s="195">
        <v>105</v>
      </c>
      <c r="D30" s="191">
        <v>0.72380952380952379</v>
      </c>
      <c r="E30" s="192">
        <v>0.84199999999999997</v>
      </c>
      <c r="F30" s="195">
        <v>68</v>
      </c>
      <c r="G30" s="195">
        <v>87</v>
      </c>
      <c r="H30" s="191">
        <v>0.7816091954022989</v>
      </c>
      <c r="I30" s="192">
        <v>0.84599999999999997</v>
      </c>
      <c r="J30" s="193">
        <v>712819</v>
      </c>
      <c r="K30" s="195">
        <v>68</v>
      </c>
      <c r="L30" s="193">
        <v>10482.632352941177</v>
      </c>
      <c r="M30" s="194">
        <v>13115</v>
      </c>
      <c r="N30" s="195">
        <v>60</v>
      </c>
      <c r="O30" s="195">
        <v>70</v>
      </c>
      <c r="P30" s="191">
        <v>0.8571428571428571</v>
      </c>
      <c r="Q30" s="192">
        <v>0.85899999999999999</v>
      </c>
      <c r="R30" s="195">
        <v>50</v>
      </c>
      <c r="S30" s="195">
        <v>55</v>
      </c>
      <c r="T30" s="191">
        <v>0.90909090909090906</v>
      </c>
      <c r="U30" s="192">
        <v>0.9</v>
      </c>
      <c r="V30" s="193">
        <v>902495</v>
      </c>
      <c r="W30" s="195">
        <v>50</v>
      </c>
      <c r="X30" s="193">
        <v>18049.900000000001</v>
      </c>
      <c r="Y30" s="194">
        <v>18698</v>
      </c>
      <c r="Z30" s="195">
        <v>78</v>
      </c>
      <c r="AA30" s="195">
        <v>99</v>
      </c>
      <c r="AB30" s="191">
        <v>0.78787878787878785</v>
      </c>
      <c r="AC30" s="192">
        <v>0.73699999999999999</v>
      </c>
      <c r="AD30" s="195">
        <v>36</v>
      </c>
      <c r="AE30" s="195">
        <v>49</v>
      </c>
      <c r="AF30" s="191">
        <v>0.73469387755102045</v>
      </c>
      <c r="AG30" s="192">
        <v>0.43099999999999999</v>
      </c>
      <c r="AH30" s="195">
        <v>78</v>
      </c>
      <c r="AI30" s="195">
        <v>105</v>
      </c>
      <c r="AJ30" s="191">
        <v>0.74285714285714288</v>
      </c>
      <c r="AK30" s="192">
        <v>0.61899999999999999</v>
      </c>
    </row>
    <row r="31" spans="1:37" x14ac:dyDescent="0.3">
      <c r="A31">
        <v>12</v>
      </c>
      <c r="B31" s="195">
        <v>176</v>
      </c>
      <c r="C31" s="195">
        <v>210</v>
      </c>
      <c r="D31" s="191">
        <v>0.83809523809523812</v>
      </c>
      <c r="E31" s="192">
        <v>0.77800000000000002</v>
      </c>
      <c r="F31" s="195">
        <v>127</v>
      </c>
      <c r="G31" s="195">
        <v>150</v>
      </c>
      <c r="H31" s="191">
        <v>0.84666666666666668</v>
      </c>
      <c r="I31" s="192">
        <v>0.81599999999999995</v>
      </c>
      <c r="J31" s="193">
        <v>1533256</v>
      </c>
      <c r="K31" s="195">
        <v>121</v>
      </c>
      <c r="L31" s="193">
        <v>12671.537190082645</v>
      </c>
      <c r="M31" s="194">
        <v>8943</v>
      </c>
      <c r="N31" s="195">
        <v>235</v>
      </c>
      <c r="O31" s="195">
        <v>277</v>
      </c>
      <c r="P31" s="191">
        <v>0.84837545126353786</v>
      </c>
      <c r="Q31" s="192">
        <v>0.73499999999999999</v>
      </c>
      <c r="R31" s="195">
        <v>213</v>
      </c>
      <c r="S31" s="195">
        <v>242</v>
      </c>
      <c r="T31" s="191">
        <v>0.8801652892561983</v>
      </c>
      <c r="U31" s="192">
        <v>0.84099999999999997</v>
      </c>
      <c r="V31" s="193">
        <v>3860065</v>
      </c>
      <c r="W31" s="195">
        <v>206</v>
      </c>
      <c r="X31" s="193">
        <v>18738.179611650485</v>
      </c>
      <c r="Y31" s="194">
        <v>10916</v>
      </c>
      <c r="Z31" s="195">
        <v>127</v>
      </c>
      <c r="AA31" s="195">
        <v>169</v>
      </c>
      <c r="AB31" s="191">
        <v>0.75147928994082835</v>
      </c>
      <c r="AC31" s="192">
        <v>0.73499999999999999</v>
      </c>
      <c r="AD31" s="195">
        <v>55</v>
      </c>
      <c r="AE31" s="195">
        <v>77</v>
      </c>
      <c r="AF31" s="191">
        <v>0.7142857142857143</v>
      </c>
      <c r="AG31" s="192">
        <v>0.376</v>
      </c>
      <c r="AH31" s="195">
        <v>165</v>
      </c>
      <c r="AI31" s="195">
        <v>245</v>
      </c>
      <c r="AJ31" s="191">
        <v>0.67346938775510201</v>
      </c>
      <c r="AK31" s="192">
        <v>0.59099999999999997</v>
      </c>
    </row>
    <row r="32" spans="1:37" ht="21" x14ac:dyDescent="0.35">
      <c r="B32" s="597" t="s">
        <v>424</v>
      </c>
      <c r="C32" s="597"/>
      <c r="D32" s="597"/>
      <c r="E32" s="597"/>
      <c r="F32" s="597"/>
    </row>
    <row r="33" spans="2:6" ht="19.5" thickBot="1" x14ac:dyDescent="0.35">
      <c r="B33" s="163" t="s">
        <v>477</v>
      </c>
      <c r="C33" s="164" t="s">
        <v>184</v>
      </c>
      <c r="D33" s="164" t="s">
        <v>185</v>
      </c>
      <c r="E33" s="164" t="s">
        <v>114</v>
      </c>
      <c r="F33" s="164" t="s">
        <v>186</v>
      </c>
    </row>
    <row r="34" spans="2:6" x14ac:dyDescent="0.3">
      <c r="B34" s="165" t="s">
        <v>1</v>
      </c>
      <c r="C34" s="166">
        <f>'Area Data'!I4</f>
        <v>0.5</v>
      </c>
      <c r="E34" s="516">
        <f>C16</f>
        <v>0.5</v>
      </c>
    </row>
    <row r="35" spans="2:6" x14ac:dyDescent="0.3">
      <c r="B35" s="165" t="s">
        <v>2</v>
      </c>
      <c r="C35" s="166">
        <f>'Area Data'!I8</f>
        <v>0.78</v>
      </c>
      <c r="E35" s="166">
        <f>E16</f>
        <v>0.76600000000000001</v>
      </c>
    </row>
    <row r="36" spans="2:6" x14ac:dyDescent="0.3">
      <c r="B36" s="165" t="s">
        <v>3</v>
      </c>
      <c r="C36" s="166"/>
      <c r="D36" s="167">
        <f>'Area Data'!I12</f>
        <v>13703</v>
      </c>
      <c r="E36" s="166"/>
      <c r="F36" s="167">
        <f>G16</f>
        <v>13500</v>
      </c>
    </row>
    <row r="38" spans="2:6" ht="19.5" thickBot="1" x14ac:dyDescent="0.35">
      <c r="B38" s="163" t="s">
        <v>11</v>
      </c>
      <c r="C38" s="164" t="s">
        <v>184</v>
      </c>
      <c r="D38" s="164" t="s">
        <v>185</v>
      </c>
      <c r="E38" s="164" t="s">
        <v>114</v>
      </c>
      <c r="F38" s="164" t="s">
        <v>186</v>
      </c>
    </row>
    <row r="39" spans="2:6" x14ac:dyDescent="0.3">
      <c r="B39" s="165" t="s">
        <v>1</v>
      </c>
      <c r="C39" s="166">
        <f>'Area Data'!I5</f>
        <v>0.81081081081081086</v>
      </c>
      <c r="E39" s="166">
        <f>'Area Data'!J5</f>
        <v>0.77500000000000002</v>
      </c>
    </row>
    <row r="40" spans="2:6" x14ac:dyDescent="0.3">
      <c r="B40" s="165" t="s">
        <v>2</v>
      </c>
      <c r="C40" s="166">
        <f>'Area Data'!I9</f>
        <v>0.87248322147651003</v>
      </c>
      <c r="E40" s="166">
        <f>'Area Data'!J9</f>
        <v>0.82</v>
      </c>
    </row>
    <row r="41" spans="2:6" x14ac:dyDescent="0.3">
      <c r="B41" s="165" t="s">
        <v>3</v>
      </c>
      <c r="C41" s="166"/>
      <c r="D41" s="167">
        <f>'Area Data'!I13</f>
        <v>14112.295081967213</v>
      </c>
      <c r="E41" s="166"/>
      <c r="F41" s="167">
        <f>'Area Data'!J13</f>
        <v>9721</v>
      </c>
    </row>
    <row r="43" spans="2:6" ht="19.5" thickBot="1" x14ac:dyDescent="0.35">
      <c r="B43" s="163" t="s">
        <v>31</v>
      </c>
      <c r="C43" s="164" t="s">
        <v>184</v>
      </c>
      <c r="D43" s="164" t="s">
        <v>185</v>
      </c>
      <c r="E43" s="164" t="s">
        <v>114</v>
      </c>
      <c r="F43" s="164" t="s">
        <v>186</v>
      </c>
    </row>
    <row r="44" spans="2:6" x14ac:dyDescent="0.3">
      <c r="B44" s="165" t="s">
        <v>1</v>
      </c>
      <c r="C44" s="166">
        <f>'Area Data'!I6</f>
        <v>0.79916317991631802</v>
      </c>
      <c r="E44" s="166">
        <f>'Area Data'!J6</f>
        <v>0.77400000000000002</v>
      </c>
    </row>
    <row r="45" spans="2:6" x14ac:dyDescent="0.3">
      <c r="B45" s="165" t="s">
        <v>2</v>
      </c>
      <c r="C45" s="166">
        <f>'Area Data'!I10</f>
        <v>0.85526315789473684</v>
      </c>
      <c r="E45" s="166">
        <f>'Area Data'!J10</f>
        <v>0.84199999999999997</v>
      </c>
    </row>
    <row r="46" spans="2:6" x14ac:dyDescent="0.3">
      <c r="B46" s="165" t="s">
        <v>3</v>
      </c>
      <c r="C46" s="166"/>
      <c r="D46" s="167">
        <f>'Area Data'!I14</f>
        <v>18762.353448275862</v>
      </c>
      <c r="E46" s="166"/>
      <c r="F46" s="167">
        <f>'Area Data'!J14</f>
        <v>14926</v>
      </c>
    </row>
    <row r="48" spans="2:6" ht="19.5" thickBot="1" x14ac:dyDescent="0.35">
      <c r="B48" s="163"/>
      <c r="C48" s="164"/>
      <c r="D48" s="164"/>
      <c r="E48" s="164"/>
      <c r="F48" s="164"/>
    </row>
    <row r="49" spans="2:6" x14ac:dyDescent="0.3">
      <c r="B49" s="165"/>
      <c r="C49" s="166"/>
      <c r="E49" s="166"/>
    </row>
    <row r="50" spans="2:6" x14ac:dyDescent="0.3">
      <c r="B50" s="165" t="s">
        <v>423</v>
      </c>
      <c r="C50" s="166" t="s">
        <v>184</v>
      </c>
      <c r="D50" t="s">
        <v>185</v>
      </c>
      <c r="E50" s="166" t="s">
        <v>114</v>
      </c>
      <c r="F50" t="s">
        <v>186</v>
      </c>
    </row>
    <row r="51" spans="2:6" x14ac:dyDescent="0.3">
      <c r="B51" s="165" t="s">
        <v>1</v>
      </c>
      <c r="C51" s="166">
        <f>E3</f>
        <v>0.52</v>
      </c>
      <c r="D51" s="167"/>
      <c r="E51" s="166">
        <f>C16</f>
        <v>0.5</v>
      </c>
      <c r="F51" s="167"/>
    </row>
    <row r="52" spans="2:6" x14ac:dyDescent="0.3">
      <c r="B52" t="s">
        <v>2</v>
      </c>
      <c r="C52" s="166">
        <f>H3</f>
        <v>0.78</v>
      </c>
      <c r="D52" s="166"/>
      <c r="E52" s="166">
        <f>E16</f>
        <v>0.76600000000000001</v>
      </c>
    </row>
    <row r="53" spans="2:6" x14ac:dyDescent="0.3">
      <c r="B53" t="s">
        <v>3</v>
      </c>
      <c r="D53" s="167">
        <f>K3</f>
        <v>14319</v>
      </c>
      <c r="E53" s="167"/>
      <c r="F53" s="167">
        <f>G16</f>
        <v>13500</v>
      </c>
    </row>
    <row r="55" spans="2:6" x14ac:dyDescent="0.3">
      <c r="B55" t="s">
        <v>11</v>
      </c>
      <c r="C55" t="s">
        <v>184</v>
      </c>
      <c r="D55" t="s">
        <v>185</v>
      </c>
      <c r="E55" t="s">
        <v>114</v>
      </c>
      <c r="F55" t="s">
        <v>186</v>
      </c>
    </row>
    <row r="56" spans="2:6" x14ac:dyDescent="0.3">
      <c r="B56" t="s">
        <v>1</v>
      </c>
      <c r="C56" s="166">
        <v>0.76053130929791268</v>
      </c>
      <c r="D56" s="166"/>
      <c r="E56" s="166">
        <v>0.752</v>
      </c>
      <c r="F56" s="166"/>
    </row>
    <row r="57" spans="2:6" x14ac:dyDescent="0.3">
      <c r="B57" t="s">
        <v>2</v>
      </c>
      <c r="C57" s="166">
        <v>0.84326923076923077</v>
      </c>
      <c r="D57" s="166"/>
      <c r="E57" s="166">
        <v>0.81</v>
      </c>
      <c r="F57" s="166"/>
    </row>
    <row r="58" spans="2:6" x14ac:dyDescent="0.3">
      <c r="B58" t="s">
        <v>3</v>
      </c>
      <c r="D58" s="167">
        <v>12917.811494252874</v>
      </c>
      <c r="E58" s="167"/>
      <c r="F58" s="167">
        <v>9456</v>
      </c>
    </row>
    <row r="60" spans="2:6" x14ac:dyDescent="0.3">
      <c r="B60" t="s">
        <v>31</v>
      </c>
      <c r="C60" t="s">
        <v>184</v>
      </c>
      <c r="D60" t="s">
        <v>185</v>
      </c>
      <c r="E60" t="s">
        <v>114</v>
      </c>
      <c r="F60" t="s">
        <v>186</v>
      </c>
    </row>
    <row r="61" spans="2:6" x14ac:dyDescent="0.3">
      <c r="B61" t="s">
        <v>1</v>
      </c>
      <c r="C61" s="166">
        <v>0.82210812443370584</v>
      </c>
      <c r="D61" s="166"/>
      <c r="E61" s="166">
        <v>0.73599999999999999</v>
      </c>
      <c r="F61" s="166"/>
    </row>
    <row r="62" spans="2:6" x14ac:dyDescent="0.3">
      <c r="B62" t="s">
        <v>2</v>
      </c>
      <c r="C62" s="166">
        <v>0.88728813559322028</v>
      </c>
      <c r="D62" s="166"/>
      <c r="E62" s="166">
        <v>0.83899999999999997</v>
      </c>
      <c r="F62" s="166"/>
    </row>
    <row r="63" spans="2:6" x14ac:dyDescent="0.3">
      <c r="B63" t="s">
        <v>3</v>
      </c>
      <c r="D63" s="167">
        <v>14043</v>
      </c>
      <c r="E63" s="167"/>
      <c r="F63" s="167">
        <v>14043</v>
      </c>
    </row>
  </sheetData>
  <sortState ref="A19:A31">
    <sortCondition ref="A19"/>
  </sortState>
  <mergeCells count="3">
    <mergeCell ref="C1:K1"/>
    <mergeCell ref="C17:K17"/>
    <mergeCell ref="B32:F32"/>
  </mergeCells>
  <pageMargins left="0.7" right="0.7" top="0.75" bottom="0.75" header="0.3" footer="0.3"/>
  <pageSetup orientation="portrait"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3:CC18"/>
  <sheetViews>
    <sheetView workbookViewId="0">
      <selection activeCell="J32" sqref="J32"/>
    </sheetView>
  </sheetViews>
  <sheetFormatPr defaultRowHeight="18.75" x14ac:dyDescent="0.3"/>
  <cols>
    <col min="1" max="1" width="11.796875" bestFit="1" customWidth="1"/>
    <col min="2" max="2" width="14.296875" bestFit="1" customWidth="1"/>
    <col min="3" max="3" width="15.3984375" bestFit="1" customWidth="1"/>
    <col min="4" max="4" width="17.296875" bestFit="1" customWidth="1"/>
    <col min="5" max="5" width="24.3984375" customWidth="1"/>
    <col min="6" max="6" width="14.09765625" customWidth="1"/>
    <col min="7" max="7" width="15.3984375" customWidth="1"/>
    <col min="8" max="8" width="17.296875" bestFit="1" customWidth="1"/>
    <col min="9" max="9" width="24.3984375" bestFit="1" customWidth="1"/>
    <col min="10" max="10" width="14.09765625" customWidth="1"/>
    <col min="11" max="11" width="15.3984375" customWidth="1"/>
    <col min="12" max="12" width="17.296875" bestFit="1" customWidth="1"/>
    <col min="13" max="13" width="24.3984375" bestFit="1" customWidth="1"/>
    <col min="14" max="14" width="14.09765625" bestFit="1" customWidth="1"/>
    <col min="15" max="15" width="15.3984375" bestFit="1" customWidth="1"/>
    <col min="16" max="16" width="17.296875" bestFit="1" customWidth="1"/>
    <col min="17" max="17" width="24.3984375" customWidth="1"/>
    <col min="18" max="18" width="14.09765625" customWidth="1"/>
    <col min="19" max="19" width="15.3984375" customWidth="1"/>
    <col min="20" max="20" width="17.296875" bestFit="1" customWidth="1"/>
    <col min="21" max="21" width="24.3984375" bestFit="1" customWidth="1"/>
    <col min="22" max="22" width="14.09765625" customWidth="1"/>
    <col min="23" max="23" width="15.3984375" customWidth="1"/>
    <col min="24" max="24" width="17.296875" bestFit="1" customWidth="1"/>
    <col min="25" max="25" width="24.3984375" bestFit="1" customWidth="1"/>
    <col min="26" max="26" width="14.09765625" bestFit="1" customWidth="1"/>
    <col min="27" max="27" width="15.3984375" bestFit="1" customWidth="1"/>
    <col min="28" max="28" width="17.296875" bestFit="1" customWidth="1"/>
    <col min="29" max="29" width="24.3984375" customWidth="1"/>
    <col min="30" max="30" width="14.09765625" customWidth="1"/>
    <col min="31" max="31" width="15.3984375" customWidth="1"/>
    <col min="32" max="32" width="17.296875" bestFit="1" customWidth="1"/>
    <col min="33" max="33" width="24.3984375" bestFit="1" customWidth="1"/>
    <col min="34" max="34" width="14.09765625" customWidth="1"/>
    <col min="35" max="35" width="15.3984375" customWidth="1"/>
    <col min="36" max="36" width="17.296875" bestFit="1" customWidth="1"/>
    <col min="37" max="37" width="24.3984375" bestFit="1" customWidth="1"/>
    <col min="38" max="38" width="14.09765625" bestFit="1" customWidth="1"/>
    <col min="39" max="39" width="15.3984375" bestFit="1" customWidth="1"/>
    <col min="40" max="40" width="17.296875" customWidth="1"/>
    <col min="41" max="41" width="24.3984375" customWidth="1"/>
    <col min="42" max="42" width="14.09765625" customWidth="1"/>
    <col min="43" max="43" width="15.3984375" customWidth="1"/>
    <col min="44" max="44" width="17.296875" bestFit="1" customWidth="1"/>
    <col min="45" max="45" width="24.3984375" bestFit="1" customWidth="1"/>
    <col min="46" max="46" width="14.09765625" customWidth="1"/>
    <col min="47" max="47" width="15.3984375" bestFit="1" customWidth="1"/>
    <col min="48" max="48" width="17.296875" bestFit="1" customWidth="1"/>
    <col min="49" max="49" width="24.3984375" bestFit="1" customWidth="1"/>
    <col min="50" max="50" width="14.09765625" bestFit="1" customWidth="1"/>
    <col min="51" max="51" width="15.3984375" bestFit="1" customWidth="1"/>
    <col min="52" max="52" width="17.296875" bestFit="1" customWidth="1"/>
    <col min="53" max="53" width="24.3984375" bestFit="1" customWidth="1"/>
    <col min="54" max="54" width="14.09765625" customWidth="1"/>
    <col min="55" max="55" width="15.3984375" customWidth="1"/>
    <col min="56" max="56" width="17.296875" bestFit="1" customWidth="1"/>
    <col min="57" max="57" width="24.3984375" bestFit="1" customWidth="1"/>
    <col min="58" max="58" width="14.09765625" customWidth="1"/>
    <col min="59" max="59" width="15.3984375" customWidth="1"/>
    <col min="60" max="60" width="17.296875" customWidth="1"/>
    <col min="61" max="61" width="24.3984375" bestFit="1" customWidth="1"/>
    <col min="62" max="62" width="14.09765625" bestFit="1" customWidth="1"/>
    <col min="63" max="63" width="15.3984375" bestFit="1" customWidth="1"/>
    <col min="64" max="64" width="17.296875" bestFit="1" customWidth="1"/>
    <col min="65" max="65" width="24.3984375" bestFit="1" customWidth="1"/>
    <col min="66" max="66" width="14.09765625" bestFit="1" customWidth="1"/>
    <col min="67" max="67" width="15.3984375" bestFit="1" customWidth="1"/>
    <col min="68" max="68" width="17.296875" bestFit="1" customWidth="1"/>
    <col min="69" max="69" width="24.3984375" bestFit="1" customWidth="1"/>
    <col min="70" max="70" width="14.09765625" bestFit="1" customWidth="1"/>
    <col min="71" max="71" width="15.3984375" bestFit="1" customWidth="1"/>
    <col min="72" max="72" width="17.296875" bestFit="1" customWidth="1"/>
    <col min="73" max="73" width="24.3984375" bestFit="1" customWidth="1"/>
    <col min="74" max="74" width="14.09765625" bestFit="1" customWidth="1"/>
    <col min="75" max="75" width="15.3984375" bestFit="1" customWidth="1"/>
    <col min="76" max="76" width="17.296875" bestFit="1" customWidth="1"/>
    <col min="77" max="77" width="24.3984375" bestFit="1" customWidth="1"/>
    <col min="78" max="78" width="18.59765625" bestFit="1" customWidth="1"/>
    <col min="79" max="79" width="19.8984375" bestFit="1" customWidth="1"/>
    <col min="80" max="80" width="21.796875" bestFit="1" customWidth="1"/>
    <col min="81" max="81" width="28.8984375" bestFit="1" customWidth="1"/>
  </cols>
  <sheetData>
    <row r="3" spans="1:81" x14ac:dyDescent="0.3">
      <c r="B3" s="168" t="s">
        <v>318</v>
      </c>
    </row>
    <row r="4" spans="1:81" x14ac:dyDescent="0.3">
      <c r="B4">
        <v>0</v>
      </c>
      <c r="F4">
        <v>1</v>
      </c>
      <c r="J4">
        <v>2</v>
      </c>
      <c r="N4">
        <v>3</v>
      </c>
      <c r="R4">
        <v>4</v>
      </c>
      <c r="V4">
        <v>5</v>
      </c>
      <c r="Z4">
        <v>6</v>
      </c>
      <c r="AD4">
        <v>7</v>
      </c>
      <c r="AH4">
        <v>8</v>
      </c>
      <c r="AL4">
        <v>9</v>
      </c>
      <c r="AP4">
        <v>10</v>
      </c>
      <c r="AT4">
        <v>11</v>
      </c>
      <c r="AX4">
        <v>12</v>
      </c>
      <c r="BB4">
        <v>13</v>
      </c>
      <c r="BF4">
        <v>14</v>
      </c>
      <c r="BJ4">
        <v>15</v>
      </c>
      <c r="BN4">
        <v>16</v>
      </c>
      <c r="BR4">
        <v>17</v>
      </c>
      <c r="BV4">
        <v>18</v>
      </c>
      <c r="BZ4" t="s">
        <v>320</v>
      </c>
      <c r="CA4" t="s">
        <v>321</v>
      </c>
      <c r="CB4" t="s">
        <v>322</v>
      </c>
      <c r="CC4" t="s">
        <v>323</v>
      </c>
    </row>
    <row r="5" spans="1:81" x14ac:dyDescent="0.3">
      <c r="A5" s="168" t="s">
        <v>187</v>
      </c>
      <c r="B5" t="s">
        <v>315</v>
      </c>
      <c r="C5" t="s">
        <v>316</v>
      </c>
      <c r="D5" t="s">
        <v>317</v>
      </c>
      <c r="E5" t="s">
        <v>319</v>
      </c>
      <c r="F5" t="s">
        <v>315</v>
      </c>
      <c r="G5" t="s">
        <v>316</v>
      </c>
      <c r="H5" t="s">
        <v>317</v>
      </c>
      <c r="I5" t="s">
        <v>319</v>
      </c>
      <c r="J5" t="s">
        <v>315</v>
      </c>
      <c r="K5" t="s">
        <v>316</v>
      </c>
      <c r="L5" t="s">
        <v>317</v>
      </c>
      <c r="M5" t="s">
        <v>319</v>
      </c>
      <c r="N5" t="s">
        <v>315</v>
      </c>
      <c r="O5" t="s">
        <v>316</v>
      </c>
      <c r="P5" t="s">
        <v>317</v>
      </c>
      <c r="Q5" t="s">
        <v>319</v>
      </c>
      <c r="R5" t="s">
        <v>315</v>
      </c>
      <c r="S5" t="s">
        <v>316</v>
      </c>
      <c r="T5" t="s">
        <v>317</v>
      </c>
      <c r="U5" t="s">
        <v>319</v>
      </c>
      <c r="V5" t="s">
        <v>315</v>
      </c>
      <c r="W5" t="s">
        <v>316</v>
      </c>
      <c r="X5" t="s">
        <v>317</v>
      </c>
      <c r="Y5" t="s">
        <v>319</v>
      </c>
      <c r="Z5" t="s">
        <v>315</v>
      </c>
      <c r="AA5" t="s">
        <v>316</v>
      </c>
      <c r="AB5" t="s">
        <v>317</v>
      </c>
      <c r="AC5" t="s">
        <v>319</v>
      </c>
      <c r="AD5" t="s">
        <v>315</v>
      </c>
      <c r="AE5" t="s">
        <v>316</v>
      </c>
      <c r="AF5" t="s">
        <v>317</v>
      </c>
      <c r="AG5" t="s">
        <v>319</v>
      </c>
      <c r="AH5" t="s">
        <v>315</v>
      </c>
      <c r="AI5" t="s">
        <v>316</v>
      </c>
      <c r="AJ5" t="s">
        <v>317</v>
      </c>
      <c r="AK5" t="s">
        <v>319</v>
      </c>
      <c r="AL5" t="s">
        <v>315</v>
      </c>
      <c r="AM5" t="s">
        <v>316</v>
      </c>
      <c r="AN5" t="s">
        <v>317</v>
      </c>
      <c r="AO5" t="s">
        <v>319</v>
      </c>
      <c r="AP5" t="s">
        <v>315</v>
      </c>
      <c r="AQ5" t="s">
        <v>316</v>
      </c>
      <c r="AR5" t="s">
        <v>317</v>
      </c>
      <c r="AS5" t="s">
        <v>319</v>
      </c>
      <c r="AT5" t="s">
        <v>315</v>
      </c>
      <c r="AU5" t="s">
        <v>316</v>
      </c>
      <c r="AV5" t="s">
        <v>317</v>
      </c>
      <c r="AW5" t="s">
        <v>319</v>
      </c>
      <c r="AX5" t="s">
        <v>315</v>
      </c>
      <c r="AY5" t="s">
        <v>316</v>
      </c>
      <c r="AZ5" t="s">
        <v>317</v>
      </c>
      <c r="BA5" t="s">
        <v>319</v>
      </c>
      <c r="BB5" t="s">
        <v>315</v>
      </c>
      <c r="BC5" t="s">
        <v>316</v>
      </c>
      <c r="BD5" t="s">
        <v>317</v>
      </c>
      <c r="BE5" t="s">
        <v>319</v>
      </c>
      <c r="BF5" t="s">
        <v>315</v>
      </c>
      <c r="BG5" t="s">
        <v>316</v>
      </c>
      <c r="BH5" t="s">
        <v>317</v>
      </c>
      <c r="BI5" t="s">
        <v>319</v>
      </c>
      <c r="BJ5" t="s">
        <v>315</v>
      </c>
      <c r="BK5" t="s">
        <v>316</v>
      </c>
      <c r="BL5" t="s">
        <v>317</v>
      </c>
      <c r="BM5" t="s">
        <v>319</v>
      </c>
      <c r="BN5" t="s">
        <v>315</v>
      </c>
      <c r="BO5" t="s">
        <v>316</v>
      </c>
      <c r="BP5" t="s">
        <v>317</v>
      </c>
      <c r="BQ5" t="s">
        <v>319</v>
      </c>
      <c r="BR5" t="s">
        <v>315</v>
      </c>
      <c r="BS5" t="s">
        <v>316</v>
      </c>
      <c r="BT5" t="s">
        <v>317</v>
      </c>
      <c r="BU5" t="s">
        <v>319</v>
      </c>
      <c r="BV5" t="s">
        <v>315</v>
      </c>
      <c r="BW5" t="s">
        <v>316</v>
      </c>
      <c r="BX5" t="s">
        <v>317</v>
      </c>
      <c r="BY5" t="s">
        <v>319</v>
      </c>
    </row>
    <row r="6" spans="1:81" x14ac:dyDescent="0.3">
      <c r="A6" s="47">
        <v>1</v>
      </c>
      <c r="B6" s="169">
        <v>341951</v>
      </c>
      <c r="C6" s="169">
        <v>171444</v>
      </c>
      <c r="D6" s="169">
        <v>170507</v>
      </c>
      <c r="E6" s="169">
        <v>44114</v>
      </c>
      <c r="F6" s="169">
        <v>19276</v>
      </c>
      <c r="G6" s="169">
        <v>9736</v>
      </c>
      <c r="H6" s="169">
        <v>9540</v>
      </c>
      <c r="I6" s="169">
        <v>3996</v>
      </c>
      <c r="J6" s="169">
        <v>18999</v>
      </c>
      <c r="K6" s="169">
        <v>9679</v>
      </c>
      <c r="L6" s="169">
        <v>9320</v>
      </c>
      <c r="M6" s="169">
        <v>3624</v>
      </c>
      <c r="N6" s="169">
        <v>20598</v>
      </c>
      <c r="O6" s="169">
        <v>10705</v>
      </c>
      <c r="P6" s="169">
        <v>9893</v>
      </c>
      <c r="Q6" s="169">
        <v>3757</v>
      </c>
      <c r="R6" s="169">
        <v>22269</v>
      </c>
      <c r="S6" s="169">
        <v>11752</v>
      </c>
      <c r="T6" s="169">
        <v>10517</v>
      </c>
      <c r="U6" s="169">
        <v>3948</v>
      </c>
      <c r="V6" s="169">
        <v>23484</v>
      </c>
      <c r="W6" s="169">
        <v>13084</v>
      </c>
      <c r="X6" s="169">
        <v>10400</v>
      </c>
      <c r="Y6" s="169">
        <v>4281</v>
      </c>
      <c r="Z6" s="169">
        <v>20113</v>
      </c>
      <c r="AA6" s="169">
        <v>10855</v>
      </c>
      <c r="AB6" s="169">
        <v>9258</v>
      </c>
      <c r="AC6" s="169">
        <v>2938</v>
      </c>
      <c r="AD6" s="169">
        <v>15710</v>
      </c>
      <c r="AE6" s="169">
        <v>8434</v>
      </c>
      <c r="AF6" s="169">
        <v>7276</v>
      </c>
      <c r="AG6" s="169">
        <v>2292</v>
      </c>
      <c r="AH6" s="169">
        <v>19037</v>
      </c>
      <c r="AI6" s="169">
        <v>9867</v>
      </c>
      <c r="AJ6" s="169">
        <v>9170</v>
      </c>
      <c r="AK6" s="169">
        <v>2659</v>
      </c>
      <c r="AL6" s="169">
        <v>20628</v>
      </c>
      <c r="AM6" s="169">
        <v>10281</v>
      </c>
      <c r="AN6" s="169">
        <v>10347</v>
      </c>
      <c r="AO6" s="169">
        <v>2682</v>
      </c>
      <c r="AP6" s="169">
        <v>25534</v>
      </c>
      <c r="AQ6" s="169">
        <v>12448</v>
      </c>
      <c r="AR6" s="169">
        <v>13086</v>
      </c>
      <c r="AS6" s="169">
        <v>2878</v>
      </c>
      <c r="AT6" s="169">
        <v>27738</v>
      </c>
      <c r="AU6" s="169">
        <v>13477</v>
      </c>
      <c r="AV6" s="169">
        <v>14261</v>
      </c>
      <c r="AW6" s="169">
        <v>2983</v>
      </c>
      <c r="AX6" s="169">
        <v>27394</v>
      </c>
      <c r="AY6" s="169">
        <v>13306</v>
      </c>
      <c r="AZ6" s="169">
        <v>14088</v>
      </c>
      <c r="BA6" s="169">
        <v>2549</v>
      </c>
      <c r="BB6" s="169">
        <v>24792</v>
      </c>
      <c r="BC6" s="169">
        <v>12056</v>
      </c>
      <c r="BD6" s="169">
        <v>12736</v>
      </c>
      <c r="BE6" s="169">
        <v>1905</v>
      </c>
      <c r="BF6" s="169">
        <v>18739</v>
      </c>
      <c r="BG6" s="169">
        <v>9120</v>
      </c>
      <c r="BH6" s="169">
        <v>9619</v>
      </c>
      <c r="BI6" s="169">
        <v>1335</v>
      </c>
      <c r="BJ6" s="169">
        <v>13077</v>
      </c>
      <c r="BK6" s="169">
        <v>6334</v>
      </c>
      <c r="BL6" s="169">
        <v>6743</v>
      </c>
      <c r="BM6" s="169">
        <v>916</v>
      </c>
      <c r="BN6" s="169">
        <v>9865</v>
      </c>
      <c r="BO6" s="169">
        <v>4495</v>
      </c>
      <c r="BP6" s="169">
        <v>5370</v>
      </c>
      <c r="BQ6" s="169">
        <v>670</v>
      </c>
      <c r="BR6" s="169">
        <v>7674</v>
      </c>
      <c r="BS6" s="169">
        <v>3364</v>
      </c>
      <c r="BT6" s="169">
        <v>4310</v>
      </c>
      <c r="BU6" s="169">
        <v>400</v>
      </c>
      <c r="BV6" s="169">
        <v>7024</v>
      </c>
      <c r="BW6" s="169">
        <v>2451</v>
      </c>
      <c r="BX6" s="169">
        <v>4573</v>
      </c>
      <c r="BY6" s="169">
        <v>301</v>
      </c>
      <c r="BZ6" s="169">
        <v>683902</v>
      </c>
      <c r="CA6" s="169">
        <v>342888</v>
      </c>
      <c r="CB6" s="169">
        <v>341014</v>
      </c>
      <c r="CC6" s="169">
        <v>88228</v>
      </c>
    </row>
    <row r="7" spans="1:81" x14ac:dyDescent="0.3">
      <c r="A7" s="47">
        <v>2</v>
      </c>
      <c r="B7" s="169">
        <v>476805</v>
      </c>
      <c r="C7" s="169">
        <v>237789</v>
      </c>
      <c r="D7" s="169">
        <v>239016</v>
      </c>
      <c r="E7" s="169">
        <v>54270</v>
      </c>
      <c r="F7" s="169">
        <v>29361</v>
      </c>
      <c r="G7" s="169">
        <v>15002</v>
      </c>
      <c r="H7" s="169">
        <v>14359</v>
      </c>
      <c r="I7" s="169">
        <v>5398</v>
      </c>
      <c r="J7" s="169">
        <v>28534</v>
      </c>
      <c r="K7" s="169">
        <v>14606</v>
      </c>
      <c r="L7" s="169">
        <v>13928</v>
      </c>
      <c r="M7" s="169">
        <v>4805</v>
      </c>
      <c r="N7" s="169">
        <v>29550</v>
      </c>
      <c r="O7" s="169">
        <v>15144</v>
      </c>
      <c r="P7" s="169">
        <v>14406</v>
      </c>
      <c r="Q7" s="169">
        <v>4363</v>
      </c>
      <c r="R7" s="169">
        <v>30816</v>
      </c>
      <c r="S7" s="169">
        <v>16396</v>
      </c>
      <c r="T7" s="169">
        <v>14420</v>
      </c>
      <c r="U7" s="169">
        <v>4573</v>
      </c>
      <c r="V7" s="169">
        <v>29369</v>
      </c>
      <c r="W7" s="169">
        <v>15521</v>
      </c>
      <c r="X7" s="169">
        <v>13848</v>
      </c>
      <c r="Y7" s="169">
        <v>4447</v>
      </c>
      <c r="Z7" s="169">
        <v>33575</v>
      </c>
      <c r="AA7" s="169">
        <v>17638</v>
      </c>
      <c r="AB7" s="169">
        <v>15937</v>
      </c>
      <c r="AC7" s="169">
        <v>4500</v>
      </c>
      <c r="AD7" s="169">
        <v>29232</v>
      </c>
      <c r="AE7" s="169">
        <v>15291</v>
      </c>
      <c r="AF7" s="169">
        <v>13941</v>
      </c>
      <c r="AG7" s="169">
        <v>3570</v>
      </c>
      <c r="AH7" s="169">
        <v>29342</v>
      </c>
      <c r="AI7" s="169">
        <v>15040</v>
      </c>
      <c r="AJ7" s="169">
        <v>14302</v>
      </c>
      <c r="AK7" s="169">
        <v>3598</v>
      </c>
      <c r="AL7" s="169">
        <v>29756</v>
      </c>
      <c r="AM7" s="169">
        <v>14988</v>
      </c>
      <c r="AN7" s="169">
        <v>14768</v>
      </c>
      <c r="AO7" s="169">
        <v>3320</v>
      </c>
      <c r="AP7" s="169">
        <v>34018</v>
      </c>
      <c r="AQ7" s="169">
        <v>16565</v>
      </c>
      <c r="AR7" s="169">
        <v>17453</v>
      </c>
      <c r="AS7" s="169">
        <v>3387</v>
      </c>
      <c r="AT7" s="169">
        <v>35891</v>
      </c>
      <c r="AU7" s="169">
        <v>17433</v>
      </c>
      <c r="AV7" s="169">
        <v>18458</v>
      </c>
      <c r="AW7" s="169">
        <v>3379</v>
      </c>
      <c r="AX7" s="169">
        <v>35401</v>
      </c>
      <c r="AY7" s="169">
        <v>17151</v>
      </c>
      <c r="AZ7" s="169">
        <v>18250</v>
      </c>
      <c r="BA7" s="169">
        <v>2793</v>
      </c>
      <c r="BB7" s="169">
        <v>30929</v>
      </c>
      <c r="BC7" s="169">
        <v>15070</v>
      </c>
      <c r="BD7" s="169">
        <v>15859</v>
      </c>
      <c r="BE7" s="169">
        <v>2123</v>
      </c>
      <c r="BF7" s="169">
        <v>23326</v>
      </c>
      <c r="BG7" s="169">
        <v>11155</v>
      </c>
      <c r="BH7" s="169">
        <v>12171</v>
      </c>
      <c r="BI7" s="169">
        <v>1531</v>
      </c>
      <c r="BJ7" s="169">
        <v>16710</v>
      </c>
      <c r="BK7" s="169">
        <v>7906</v>
      </c>
      <c r="BL7" s="169">
        <v>8804</v>
      </c>
      <c r="BM7" s="169">
        <v>1027</v>
      </c>
      <c r="BN7" s="169">
        <v>12579</v>
      </c>
      <c r="BO7" s="169">
        <v>5710</v>
      </c>
      <c r="BP7" s="169">
        <v>6869</v>
      </c>
      <c r="BQ7" s="169">
        <v>717</v>
      </c>
      <c r="BR7" s="169">
        <v>9728</v>
      </c>
      <c r="BS7" s="169">
        <v>4135</v>
      </c>
      <c r="BT7" s="169">
        <v>5593</v>
      </c>
      <c r="BU7" s="169">
        <v>435</v>
      </c>
      <c r="BV7" s="169">
        <v>8688</v>
      </c>
      <c r="BW7" s="169">
        <v>3038</v>
      </c>
      <c r="BX7" s="169">
        <v>5650</v>
      </c>
      <c r="BY7" s="169">
        <v>304</v>
      </c>
      <c r="BZ7" s="169">
        <v>953610</v>
      </c>
      <c r="CA7" s="169">
        <v>475578</v>
      </c>
      <c r="CB7" s="169">
        <v>478032</v>
      </c>
      <c r="CC7" s="169">
        <v>108540</v>
      </c>
    </row>
    <row r="8" spans="1:81" x14ac:dyDescent="0.3">
      <c r="A8" s="47">
        <v>3</v>
      </c>
      <c r="B8" s="169">
        <v>416506</v>
      </c>
      <c r="C8" s="169">
        <v>205793</v>
      </c>
      <c r="D8" s="169">
        <v>210713</v>
      </c>
      <c r="E8" s="169">
        <v>38378</v>
      </c>
      <c r="F8" s="169">
        <v>25175</v>
      </c>
      <c r="G8" s="169">
        <v>12882</v>
      </c>
      <c r="H8" s="169">
        <v>12293</v>
      </c>
      <c r="I8" s="169">
        <v>4027</v>
      </c>
      <c r="J8" s="169">
        <v>23311</v>
      </c>
      <c r="K8" s="169">
        <v>11768</v>
      </c>
      <c r="L8" s="169">
        <v>11543</v>
      </c>
      <c r="M8" s="169">
        <v>3110</v>
      </c>
      <c r="N8" s="169">
        <v>24482</v>
      </c>
      <c r="O8" s="169">
        <v>12503</v>
      </c>
      <c r="P8" s="169">
        <v>11979</v>
      </c>
      <c r="Q8" s="169">
        <v>2993</v>
      </c>
      <c r="R8" s="169">
        <v>29616</v>
      </c>
      <c r="S8" s="169">
        <v>14795</v>
      </c>
      <c r="T8" s="169">
        <v>14821</v>
      </c>
      <c r="U8" s="169">
        <v>3637</v>
      </c>
      <c r="V8" s="169">
        <v>40122</v>
      </c>
      <c r="W8" s="169">
        <v>20374</v>
      </c>
      <c r="X8" s="169">
        <v>19748</v>
      </c>
      <c r="Y8" s="169">
        <v>4888</v>
      </c>
      <c r="Z8" s="169">
        <v>27418</v>
      </c>
      <c r="AA8" s="169">
        <v>14144</v>
      </c>
      <c r="AB8" s="169">
        <v>13274</v>
      </c>
      <c r="AC8" s="169">
        <v>2838</v>
      </c>
      <c r="AD8" s="169">
        <v>18940</v>
      </c>
      <c r="AE8" s="169">
        <v>9879</v>
      </c>
      <c r="AF8" s="169">
        <v>9061</v>
      </c>
      <c r="AG8" s="169">
        <v>2089</v>
      </c>
      <c r="AH8" s="169">
        <v>23529</v>
      </c>
      <c r="AI8" s="169">
        <v>12035</v>
      </c>
      <c r="AJ8" s="169">
        <v>11494</v>
      </c>
      <c r="AK8" s="169">
        <v>2341</v>
      </c>
      <c r="AL8" s="169">
        <v>24307</v>
      </c>
      <c r="AM8" s="169">
        <v>12111</v>
      </c>
      <c r="AN8" s="169">
        <v>12196</v>
      </c>
      <c r="AO8" s="169">
        <v>2230</v>
      </c>
      <c r="AP8" s="169">
        <v>28296</v>
      </c>
      <c r="AQ8" s="169">
        <v>13890</v>
      </c>
      <c r="AR8" s="169">
        <v>14406</v>
      </c>
      <c r="AS8" s="169">
        <v>2214</v>
      </c>
      <c r="AT8" s="169">
        <v>29274</v>
      </c>
      <c r="AU8" s="169">
        <v>14131</v>
      </c>
      <c r="AV8" s="169">
        <v>15143</v>
      </c>
      <c r="AW8" s="169">
        <v>2039</v>
      </c>
      <c r="AX8" s="169">
        <v>30165</v>
      </c>
      <c r="AY8" s="169">
        <v>14615</v>
      </c>
      <c r="AZ8" s="169">
        <v>15550</v>
      </c>
      <c r="BA8" s="169">
        <v>1869</v>
      </c>
      <c r="BB8" s="169">
        <v>26862</v>
      </c>
      <c r="BC8" s="169">
        <v>12987</v>
      </c>
      <c r="BD8" s="169">
        <v>13875</v>
      </c>
      <c r="BE8" s="169">
        <v>1391</v>
      </c>
      <c r="BF8" s="169">
        <v>20681</v>
      </c>
      <c r="BG8" s="169">
        <v>10013</v>
      </c>
      <c r="BH8" s="169">
        <v>10668</v>
      </c>
      <c r="BI8" s="169">
        <v>1012</v>
      </c>
      <c r="BJ8" s="169">
        <v>15367</v>
      </c>
      <c r="BK8" s="169">
        <v>7368</v>
      </c>
      <c r="BL8" s="169">
        <v>7999</v>
      </c>
      <c r="BM8" s="169">
        <v>752</v>
      </c>
      <c r="BN8" s="169">
        <v>11701</v>
      </c>
      <c r="BO8" s="169">
        <v>5363</v>
      </c>
      <c r="BP8" s="169">
        <v>6338</v>
      </c>
      <c r="BQ8" s="169">
        <v>449</v>
      </c>
      <c r="BR8" s="169">
        <v>8730</v>
      </c>
      <c r="BS8" s="169">
        <v>3827</v>
      </c>
      <c r="BT8" s="169">
        <v>4903</v>
      </c>
      <c r="BU8" s="169">
        <v>274</v>
      </c>
      <c r="BV8" s="169">
        <v>8530</v>
      </c>
      <c r="BW8" s="169">
        <v>3108</v>
      </c>
      <c r="BX8" s="169">
        <v>5422</v>
      </c>
      <c r="BY8" s="169">
        <v>225</v>
      </c>
      <c r="BZ8" s="169">
        <v>833012</v>
      </c>
      <c r="CA8" s="169">
        <v>411586</v>
      </c>
      <c r="CB8" s="169">
        <v>421426</v>
      </c>
      <c r="CC8" s="169">
        <v>76756</v>
      </c>
    </row>
    <row r="9" spans="1:81" x14ac:dyDescent="0.3">
      <c r="A9" s="47">
        <v>4</v>
      </c>
      <c r="B9" s="169">
        <v>694571</v>
      </c>
      <c r="C9" s="169">
        <v>347949</v>
      </c>
      <c r="D9" s="169">
        <v>346622</v>
      </c>
      <c r="E9" s="169">
        <v>112495</v>
      </c>
      <c r="F9" s="169">
        <v>48184</v>
      </c>
      <c r="G9" s="169">
        <v>24478</v>
      </c>
      <c r="H9" s="169">
        <v>23706</v>
      </c>
      <c r="I9" s="169">
        <v>11305</v>
      </c>
      <c r="J9" s="169">
        <v>46667</v>
      </c>
      <c r="K9" s="169">
        <v>23757</v>
      </c>
      <c r="L9" s="169">
        <v>22910</v>
      </c>
      <c r="M9" s="169">
        <v>10025</v>
      </c>
      <c r="N9" s="169">
        <v>46672</v>
      </c>
      <c r="O9" s="169">
        <v>23844</v>
      </c>
      <c r="P9" s="169">
        <v>22828</v>
      </c>
      <c r="Q9" s="169">
        <v>8904</v>
      </c>
      <c r="R9" s="169">
        <v>46503</v>
      </c>
      <c r="S9" s="169">
        <v>24214</v>
      </c>
      <c r="T9" s="169">
        <v>22289</v>
      </c>
      <c r="U9" s="169">
        <v>7949</v>
      </c>
      <c r="V9" s="169">
        <v>43672</v>
      </c>
      <c r="W9" s="169">
        <v>22941</v>
      </c>
      <c r="X9" s="169">
        <v>20731</v>
      </c>
      <c r="Y9" s="169">
        <v>7424</v>
      </c>
      <c r="Z9" s="169">
        <v>50911</v>
      </c>
      <c r="AA9" s="169">
        <v>25947</v>
      </c>
      <c r="AB9" s="169">
        <v>24964</v>
      </c>
      <c r="AC9" s="169">
        <v>9395</v>
      </c>
      <c r="AD9" s="169">
        <v>47977</v>
      </c>
      <c r="AE9" s="169">
        <v>24550</v>
      </c>
      <c r="AF9" s="169">
        <v>23427</v>
      </c>
      <c r="AG9" s="169">
        <v>9534</v>
      </c>
      <c r="AH9" s="169">
        <v>51082</v>
      </c>
      <c r="AI9" s="169">
        <v>25732</v>
      </c>
      <c r="AJ9" s="169">
        <v>25350</v>
      </c>
      <c r="AK9" s="169">
        <v>9582</v>
      </c>
      <c r="AL9" s="169">
        <v>52693</v>
      </c>
      <c r="AM9" s="169">
        <v>26766</v>
      </c>
      <c r="AN9" s="169">
        <v>25927</v>
      </c>
      <c r="AO9" s="169">
        <v>8407</v>
      </c>
      <c r="AP9" s="169">
        <v>58296</v>
      </c>
      <c r="AQ9" s="169">
        <v>29600</v>
      </c>
      <c r="AR9" s="169">
        <v>28696</v>
      </c>
      <c r="AS9" s="169">
        <v>7883</v>
      </c>
      <c r="AT9" s="169">
        <v>54475</v>
      </c>
      <c r="AU9" s="169">
        <v>27387</v>
      </c>
      <c r="AV9" s="169">
        <v>27088</v>
      </c>
      <c r="AW9" s="169">
        <v>6665</v>
      </c>
      <c r="AX9" s="169">
        <v>44750</v>
      </c>
      <c r="AY9" s="169">
        <v>22043</v>
      </c>
      <c r="AZ9" s="169">
        <v>22707</v>
      </c>
      <c r="BA9" s="169">
        <v>5106</v>
      </c>
      <c r="BB9" s="169">
        <v>34325</v>
      </c>
      <c r="BC9" s="169">
        <v>16578</v>
      </c>
      <c r="BD9" s="169">
        <v>17747</v>
      </c>
      <c r="BE9" s="169">
        <v>3759</v>
      </c>
      <c r="BF9" s="169">
        <v>22334</v>
      </c>
      <c r="BG9" s="169">
        <v>10862</v>
      </c>
      <c r="BH9" s="169">
        <v>11472</v>
      </c>
      <c r="BI9" s="169">
        <v>2504</v>
      </c>
      <c r="BJ9" s="169">
        <v>15468</v>
      </c>
      <c r="BK9" s="169">
        <v>7244</v>
      </c>
      <c r="BL9" s="169">
        <v>8224</v>
      </c>
      <c r="BM9" s="169">
        <v>1772</v>
      </c>
      <c r="BN9" s="169">
        <v>11975</v>
      </c>
      <c r="BO9" s="169">
        <v>5259</v>
      </c>
      <c r="BP9" s="169">
        <v>6716</v>
      </c>
      <c r="BQ9" s="169">
        <v>1090</v>
      </c>
      <c r="BR9" s="169">
        <v>9194</v>
      </c>
      <c r="BS9" s="169">
        <v>3650</v>
      </c>
      <c r="BT9" s="169">
        <v>5544</v>
      </c>
      <c r="BU9" s="169">
        <v>677</v>
      </c>
      <c r="BV9" s="169">
        <v>9393</v>
      </c>
      <c r="BW9" s="169">
        <v>3097</v>
      </c>
      <c r="BX9" s="169">
        <v>6296</v>
      </c>
      <c r="BY9" s="169">
        <v>514</v>
      </c>
      <c r="BZ9" s="169">
        <v>1389142</v>
      </c>
      <c r="CA9" s="169">
        <v>695898</v>
      </c>
      <c r="CB9" s="169">
        <v>693244</v>
      </c>
      <c r="CC9" s="169">
        <v>224990</v>
      </c>
    </row>
    <row r="10" spans="1:81" x14ac:dyDescent="0.3">
      <c r="A10" s="47">
        <v>5</v>
      </c>
      <c r="B10" s="169">
        <v>1916441</v>
      </c>
      <c r="C10" s="169">
        <v>958922</v>
      </c>
      <c r="D10" s="169">
        <v>957519</v>
      </c>
      <c r="E10" s="169">
        <v>489586</v>
      </c>
      <c r="F10" s="169">
        <v>122232</v>
      </c>
      <c r="G10" s="169">
        <v>62378</v>
      </c>
      <c r="H10" s="169">
        <v>59854</v>
      </c>
      <c r="I10" s="169">
        <v>43272</v>
      </c>
      <c r="J10" s="169">
        <v>113826</v>
      </c>
      <c r="K10" s="169">
        <v>57896</v>
      </c>
      <c r="L10" s="169">
        <v>55930</v>
      </c>
      <c r="M10" s="169">
        <v>37955</v>
      </c>
      <c r="N10" s="169">
        <v>105472</v>
      </c>
      <c r="O10" s="169">
        <v>54142</v>
      </c>
      <c r="P10" s="169">
        <v>51330</v>
      </c>
      <c r="Q10" s="169">
        <v>32932</v>
      </c>
      <c r="R10" s="169">
        <v>111024</v>
      </c>
      <c r="S10" s="169">
        <v>57033</v>
      </c>
      <c r="T10" s="169">
        <v>53991</v>
      </c>
      <c r="U10" s="169">
        <v>32939</v>
      </c>
      <c r="V10" s="169">
        <v>121232</v>
      </c>
      <c r="W10" s="169">
        <v>62284</v>
      </c>
      <c r="X10" s="169">
        <v>58948</v>
      </c>
      <c r="Y10" s="169">
        <v>33934</v>
      </c>
      <c r="Z10" s="169">
        <v>167338</v>
      </c>
      <c r="AA10" s="169">
        <v>85644</v>
      </c>
      <c r="AB10" s="169">
        <v>81694</v>
      </c>
      <c r="AC10" s="169">
        <v>46539</v>
      </c>
      <c r="AD10" s="169">
        <v>160285</v>
      </c>
      <c r="AE10" s="169">
        <v>81363</v>
      </c>
      <c r="AF10" s="169">
        <v>78922</v>
      </c>
      <c r="AG10" s="169">
        <v>45342</v>
      </c>
      <c r="AH10" s="169">
        <v>151802</v>
      </c>
      <c r="AI10" s="169">
        <v>78120</v>
      </c>
      <c r="AJ10" s="169">
        <v>73682</v>
      </c>
      <c r="AK10" s="169">
        <v>42070</v>
      </c>
      <c r="AL10" s="169">
        <v>145446</v>
      </c>
      <c r="AM10" s="169">
        <v>75004</v>
      </c>
      <c r="AN10" s="169">
        <v>70442</v>
      </c>
      <c r="AO10" s="169">
        <v>35010</v>
      </c>
      <c r="AP10" s="169">
        <v>149964</v>
      </c>
      <c r="AQ10" s="169">
        <v>75904</v>
      </c>
      <c r="AR10" s="169">
        <v>74060</v>
      </c>
      <c r="AS10" s="169">
        <v>32758</v>
      </c>
      <c r="AT10" s="169">
        <v>143272</v>
      </c>
      <c r="AU10" s="169">
        <v>71698</v>
      </c>
      <c r="AV10" s="169">
        <v>71574</v>
      </c>
      <c r="AW10" s="169">
        <v>28589</v>
      </c>
      <c r="AX10" s="169">
        <v>123240</v>
      </c>
      <c r="AY10" s="169">
        <v>60639</v>
      </c>
      <c r="AZ10" s="169">
        <v>62601</v>
      </c>
      <c r="BA10" s="169">
        <v>23810</v>
      </c>
      <c r="BB10" s="169">
        <v>96306</v>
      </c>
      <c r="BC10" s="169">
        <v>47107</v>
      </c>
      <c r="BD10" s="169">
        <v>49199</v>
      </c>
      <c r="BE10" s="169">
        <v>17597</v>
      </c>
      <c r="BF10" s="169">
        <v>62414</v>
      </c>
      <c r="BG10" s="169">
        <v>30527</v>
      </c>
      <c r="BH10" s="169">
        <v>31887</v>
      </c>
      <c r="BI10" s="169">
        <v>12009</v>
      </c>
      <c r="BJ10" s="169">
        <v>43428</v>
      </c>
      <c r="BK10" s="169">
        <v>20492</v>
      </c>
      <c r="BL10" s="169">
        <v>22936</v>
      </c>
      <c r="BM10" s="169">
        <v>9078</v>
      </c>
      <c r="BN10" s="169">
        <v>35614</v>
      </c>
      <c r="BO10" s="169">
        <v>15860</v>
      </c>
      <c r="BP10" s="169">
        <v>19754</v>
      </c>
      <c r="BQ10" s="169">
        <v>6536</v>
      </c>
      <c r="BR10" s="169">
        <v>30094</v>
      </c>
      <c r="BS10" s="169">
        <v>11970</v>
      </c>
      <c r="BT10" s="169">
        <v>18124</v>
      </c>
      <c r="BU10" s="169">
        <v>4853</v>
      </c>
      <c r="BV10" s="169">
        <v>33452</v>
      </c>
      <c r="BW10" s="169">
        <v>10861</v>
      </c>
      <c r="BX10" s="169">
        <v>22591</v>
      </c>
      <c r="BY10" s="169">
        <v>4363</v>
      </c>
      <c r="BZ10" s="169">
        <v>3832882</v>
      </c>
      <c r="CA10" s="169">
        <v>1917844</v>
      </c>
      <c r="CB10" s="169">
        <v>1915038</v>
      </c>
      <c r="CC10" s="169">
        <v>979172</v>
      </c>
    </row>
    <row r="11" spans="1:81" x14ac:dyDescent="0.3">
      <c r="A11" s="47">
        <v>6</v>
      </c>
      <c r="B11" s="169">
        <v>796836</v>
      </c>
      <c r="C11" s="169">
        <v>397043</v>
      </c>
      <c r="D11" s="169">
        <v>399793</v>
      </c>
      <c r="E11" s="169">
        <v>164887</v>
      </c>
      <c r="F11" s="169">
        <v>57009</v>
      </c>
      <c r="G11" s="169">
        <v>29217</v>
      </c>
      <c r="H11" s="169">
        <v>27792</v>
      </c>
      <c r="I11" s="169">
        <v>16602</v>
      </c>
      <c r="J11" s="169">
        <v>53249</v>
      </c>
      <c r="K11" s="169">
        <v>27293</v>
      </c>
      <c r="L11" s="169">
        <v>25956</v>
      </c>
      <c r="M11" s="169">
        <v>14550</v>
      </c>
      <c r="N11" s="169">
        <v>52941</v>
      </c>
      <c r="O11" s="169">
        <v>26959</v>
      </c>
      <c r="P11" s="169">
        <v>25982</v>
      </c>
      <c r="Q11" s="169">
        <v>13767</v>
      </c>
      <c r="R11" s="169">
        <v>55677</v>
      </c>
      <c r="S11" s="169">
        <v>29112</v>
      </c>
      <c r="T11" s="169">
        <v>26565</v>
      </c>
      <c r="U11" s="169">
        <v>13908</v>
      </c>
      <c r="V11" s="169">
        <v>63027</v>
      </c>
      <c r="W11" s="169">
        <v>33948</v>
      </c>
      <c r="X11" s="169">
        <v>29079</v>
      </c>
      <c r="Y11" s="169">
        <v>14876</v>
      </c>
      <c r="Z11" s="169">
        <v>63872</v>
      </c>
      <c r="AA11" s="169">
        <v>32416</v>
      </c>
      <c r="AB11" s="169">
        <v>31456</v>
      </c>
      <c r="AC11" s="169">
        <v>14044</v>
      </c>
      <c r="AD11" s="169">
        <v>51287</v>
      </c>
      <c r="AE11" s="169">
        <v>25349</v>
      </c>
      <c r="AF11" s="169">
        <v>25938</v>
      </c>
      <c r="AG11" s="169">
        <v>10622</v>
      </c>
      <c r="AH11" s="169">
        <v>53037</v>
      </c>
      <c r="AI11" s="169">
        <v>26617</v>
      </c>
      <c r="AJ11" s="169">
        <v>26420</v>
      </c>
      <c r="AK11" s="169">
        <v>10967</v>
      </c>
      <c r="AL11" s="169">
        <v>55210</v>
      </c>
      <c r="AM11" s="169">
        <v>27454</v>
      </c>
      <c r="AN11" s="169">
        <v>27756</v>
      </c>
      <c r="AO11" s="169">
        <v>10473</v>
      </c>
      <c r="AP11" s="169">
        <v>60480</v>
      </c>
      <c r="AQ11" s="169">
        <v>30091</v>
      </c>
      <c r="AR11" s="169">
        <v>30389</v>
      </c>
      <c r="AS11" s="169">
        <v>10881</v>
      </c>
      <c r="AT11" s="169">
        <v>57709</v>
      </c>
      <c r="AU11" s="169">
        <v>28640</v>
      </c>
      <c r="AV11" s="169">
        <v>29069</v>
      </c>
      <c r="AW11" s="169">
        <v>10164</v>
      </c>
      <c r="AX11" s="169">
        <v>48358</v>
      </c>
      <c r="AY11" s="169">
        <v>23625</v>
      </c>
      <c r="AZ11" s="169">
        <v>24733</v>
      </c>
      <c r="BA11" s="169">
        <v>7610</v>
      </c>
      <c r="BB11" s="169">
        <v>38806</v>
      </c>
      <c r="BC11" s="169">
        <v>18836</v>
      </c>
      <c r="BD11" s="169">
        <v>19970</v>
      </c>
      <c r="BE11" s="169">
        <v>5424</v>
      </c>
      <c r="BF11" s="169">
        <v>27434</v>
      </c>
      <c r="BG11" s="169">
        <v>13222</v>
      </c>
      <c r="BH11" s="169">
        <v>14212</v>
      </c>
      <c r="BI11" s="169">
        <v>3781</v>
      </c>
      <c r="BJ11" s="169">
        <v>19907</v>
      </c>
      <c r="BK11" s="169">
        <v>9082</v>
      </c>
      <c r="BL11" s="169">
        <v>10825</v>
      </c>
      <c r="BM11" s="169">
        <v>2797</v>
      </c>
      <c r="BN11" s="169">
        <v>15920</v>
      </c>
      <c r="BO11" s="169">
        <v>7000</v>
      </c>
      <c r="BP11" s="169">
        <v>8920</v>
      </c>
      <c r="BQ11" s="169">
        <v>2190</v>
      </c>
      <c r="BR11" s="169">
        <v>11939</v>
      </c>
      <c r="BS11" s="169">
        <v>4692</v>
      </c>
      <c r="BT11" s="169">
        <v>7247</v>
      </c>
      <c r="BU11" s="169">
        <v>1383</v>
      </c>
      <c r="BV11" s="169">
        <v>10974</v>
      </c>
      <c r="BW11" s="169">
        <v>3490</v>
      </c>
      <c r="BX11" s="169">
        <v>7484</v>
      </c>
      <c r="BY11" s="169">
        <v>848</v>
      </c>
      <c r="BZ11" s="169">
        <v>1593672</v>
      </c>
      <c r="CA11" s="169">
        <v>794086</v>
      </c>
      <c r="CB11" s="169">
        <v>799586</v>
      </c>
      <c r="CC11" s="169">
        <v>329774</v>
      </c>
    </row>
    <row r="12" spans="1:81" x14ac:dyDescent="0.3">
      <c r="A12" s="47">
        <v>7</v>
      </c>
      <c r="B12" s="169">
        <v>538030</v>
      </c>
      <c r="C12" s="169">
        <v>268246</v>
      </c>
      <c r="D12" s="169">
        <v>269784</v>
      </c>
      <c r="E12" s="169">
        <v>51501</v>
      </c>
      <c r="F12" s="169">
        <v>37894</v>
      </c>
      <c r="G12" s="169">
        <v>19289</v>
      </c>
      <c r="H12" s="169">
        <v>18605</v>
      </c>
      <c r="I12" s="169">
        <v>5472</v>
      </c>
      <c r="J12" s="169">
        <v>38253</v>
      </c>
      <c r="K12" s="169">
        <v>19469</v>
      </c>
      <c r="L12" s="169">
        <v>18784</v>
      </c>
      <c r="M12" s="169">
        <v>5001</v>
      </c>
      <c r="N12" s="169">
        <v>39571</v>
      </c>
      <c r="O12" s="169">
        <v>20128</v>
      </c>
      <c r="P12" s="169">
        <v>19443</v>
      </c>
      <c r="Q12" s="169">
        <v>4830</v>
      </c>
      <c r="R12" s="169">
        <v>36688</v>
      </c>
      <c r="S12" s="169">
        <v>19015</v>
      </c>
      <c r="T12" s="169">
        <v>17673</v>
      </c>
      <c r="U12" s="169">
        <v>4259</v>
      </c>
      <c r="V12" s="169">
        <v>30764</v>
      </c>
      <c r="W12" s="169">
        <v>16127</v>
      </c>
      <c r="X12" s="169">
        <v>14637</v>
      </c>
      <c r="Y12" s="169">
        <v>3372</v>
      </c>
      <c r="Z12" s="169">
        <v>36595</v>
      </c>
      <c r="AA12" s="169">
        <v>19080</v>
      </c>
      <c r="AB12" s="169">
        <v>17515</v>
      </c>
      <c r="AC12" s="169">
        <v>3576</v>
      </c>
      <c r="AD12" s="169">
        <v>35718</v>
      </c>
      <c r="AE12" s="169">
        <v>17876</v>
      </c>
      <c r="AF12" s="169">
        <v>17842</v>
      </c>
      <c r="AG12" s="169">
        <v>3555</v>
      </c>
      <c r="AH12" s="169">
        <v>37480</v>
      </c>
      <c r="AI12" s="169">
        <v>18758</v>
      </c>
      <c r="AJ12" s="169">
        <v>18722</v>
      </c>
      <c r="AK12" s="169">
        <v>4108</v>
      </c>
      <c r="AL12" s="169">
        <v>37028</v>
      </c>
      <c r="AM12" s="169">
        <v>18508</v>
      </c>
      <c r="AN12" s="169">
        <v>18520</v>
      </c>
      <c r="AO12" s="169">
        <v>3485</v>
      </c>
      <c r="AP12" s="169">
        <v>39759</v>
      </c>
      <c r="AQ12" s="169">
        <v>19840</v>
      </c>
      <c r="AR12" s="169">
        <v>19919</v>
      </c>
      <c r="AS12" s="169">
        <v>3243</v>
      </c>
      <c r="AT12" s="169">
        <v>38947</v>
      </c>
      <c r="AU12" s="169">
        <v>19416</v>
      </c>
      <c r="AV12" s="169">
        <v>19531</v>
      </c>
      <c r="AW12" s="169">
        <v>2991</v>
      </c>
      <c r="AX12" s="169">
        <v>35334</v>
      </c>
      <c r="AY12" s="169">
        <v>17354</v>
      </c>
      <c r="AZ12" s="169">
        <v>17980</v>
      </c>
      <c r="BA12" s="169">
        <v>2536</v>
      </c>
      <c r="BB12" s="169">
        <v>30284</v>
      </c>
      <c r="BC12" s="169">
        <v>14793</v>
      </c>
      <c r="BD12" s="169">
        <v>15491</v>
      </c>
      <c r="BE12" s="169">
        <v>1880</v>
      </c>
      <c r="BF12" s="169">
        <v>21486</v>
      </c>
      <c r="BG12" s="169">
        <v>10595</v>
      </c>
      <c r="BH12" s="169">
        <v>10891</v>
      </c>
      <c r="BI12" s="169">
        <v>1250</v>
      </c>
      <c r="BJ12" s="169">
        <v>14951</v>
      </c>
      <c r="BK12" s="169">
        <v>7019</v>
      </c>
      <c r="BL12" s="169">
        <v>7932</v>
      </c>
      <c r="BM12" s="169">
        <v>784</v>
      </c>
      <c r="BN12" s="169">
        <v>11018</v>
      </c>
      <c r="BO12" s="169">
        <v>4889</v>
      </c>
      <c r="BP12" s="169">
        <v>6129</v>
      </c>
      <c r="BQ12" s="169">
        <v>561</v>
      </c>
      <c r="BR12" s="169">
        <v>8534</v>
      </c>
      <c r="BS12" s="169">
        <v>3467</v>
      </c>
      <c r="BT12" s="169">
        <v>5067</v>
      </c>
      <c r="BU12" s="169">
        <v>334</v>
      </c>
      <c r="BV12" s="169">
        <v>7726</v>
      </c>
      <c r="BW12" s="169">
        <v>2623</v>
      </c>
      <c r="BX12" s="169">
        <v>5103</v>
      </c>
      <c r="BY12" s="169">
        <v>264</v>
      </c>
      <c r="BZ12" s="169">
        <v>1076060</v>
      </c>
      <c r="CA12" s="169">
        <v>536492</v>
      </c>
      <c r="CB12" s="169">
        <v>539568</v>
      </c>
      <c r="CC12" s="169">
        <v>103002</v>
      </c>
    </row>
    <row r="13" spans="1:81" x14ac:dyDescent="0.3">
      <c r="A13" s="47">
        <v>8</v>
      </c>
      <c r="B13" s="169">
        <v>256319</v>
      </c>
      <c r="C13" s="169">
        <v>129559</v>
      </c>
      <c r="D13" s="169">
        <v>126760</v>
      </c>
      <c r="E13" s="169">
        <v>17968</v>
      </c>
      <c r="F13" s="169">
        <v>21506</v>
      </c>
      <c r="G13" s="169">
        <v>11153</v>
      </c>
      <c r="H13" s="169">
        <v>10353</v>
      </c>
      <c r="I13" s="169">
        <v>3002</v>
      </c>
      <c r="J13" s="169">
        <v>19906</v>
      </c>
      <c r="K13" s="169">
        <v>10141</v>
      </c>
      <c r="L13" s="169">
        <v>9765</v>
      </c>
      <c r="M13" s="169">
        <v>1947</v>
      </c>
      <c r="N13" s="169">
        <v>18671</v>
      </c>
      <c r="O13" s="169">
        <v>9469</v>
      </c>
      <c r="P13" s="169">
        <v>9202</v>
      </c>
      <c r="Q13" s="169">
        <v>1371</v>
      </c>
      <c r="R13" s="169">
        <v>19502</v>
      </c>
      <c r="S13" s="169">
        <v>10200</v>
      </c>
      <c r="T13" s="169">
        <v>9302</v>
      </c>
      <c r="U13" s="169">
        <v>1554</v>
      </c>
      <c r="V13" s="169">
        <v>16429</v>
      </c>
      <c r="W13" s="169">
        <v>8679</v>
      </c>
      <c r="X13" s="169">
        <v>7750</v>
      </c>
      <c r="Y13" s="169">
        <v>1314</v>
      </c>
      <c r="Z13" s="169">
        <v>15656</v>
      </c>
      <c r="AA13" s="169">
        <v>8464</v>
      </c>
      <c r="AB13" s="169">
        <v>7192</v>
      </c>
      <c r="AC13" s="169">
        <v>1223</v>
      </c>
      <c r="AD13" s="169">
        <v>13784</v>
      </c>
      <c r="AE13" s="169">
        <v>7110</v>
      </c>
      <c r="AF13" s="169">
        <v>6674</v>
      </c>
      <c r="AG13" s="169">
        <v>1077</v>
      </c>
      <c r="AH13" s="169">
        <v>14968</v>
      </c>
      <c r="AI13" s="169">
        <v>7667</v>
      </c>
      <c r="AJ13" s="169">
        <v>7301</v>
      </c>
      <c r="AK13" s="169">
        <v>1035</v>
      </c>
      <c r="AL13" s="169">
        <v>15063</v>
      </c>
      <c r="AM13" s="169">
        <v>7561</v>
      </c>
      <c r="AN13" s="169">
        <v>7502</v>
      </c>
      <c r="AO13" s="169">
        <v>890</v>
      </c>
      <c r="AP13" s="169">
        <v>17090</v>
      </c>
      <c r="AQ13" s="169">
        <v>8512</v>
      </c>
      <c r="AR13" s="169">
        <v>8578</v>
      </c>
      <c r="AS13" s="169">
        <v>902</v>
      </c>
      <c r="AT13" s="169">
        <v>17704</v>
      </c>
      <c r="AU13" s="169">
        <v>8808</v>
      </c>
      <c r="AV13" s="169">
        <v>8896</v>
      </c>
      <c r="AW13" s="169">
        <v>971</v>
      </c>
      <c r="AX13" s="169">
        <v>16807</v>
      </c>
      <c r="AY13" s="169">
        <v>8556</v>
      </c>
      <c r="AZ13" s="169">
        <v>8251</v>
      </c>
      <c r="BA13" s="169">
        <v>791</v>
      </c>
      <c r="BB13" s="169">
        <v>14228</v>
      </c>
      <c r="BC13" s="169">
        <v>7034</v>
      </c>
      <c r="BD13" s="169">
        <v>7194</v>
      </c>
      <c r="BE13" s="169">
        <v>593</v>
      </c>
      <c r="BF13" s="169">
        <v>11118</v>
      </c>
      <c r="BG13" s="169">
        <v>5550</v>
      </c>
      <c r="BH13" s="169">
        <v>5568</v>
      </c>
      <c r="BI13" s="169">
        <v>443</v>
      </c>
      <c r="BJ13" s="169">
        <v>8112</v>
      </c>
      <c r="BK13" s="169">
        <v>3927</v>
      </c>
      <c r="BL13" s="169">
        <v>4185</v>
      </c>
      <c r="BM13" s="169">
        <v>302</v>
      </c>
      <c r="BN13" s="169">
        <v>6443</v>
      </c>
      <c r="BO13" s="169">
        <v>2974</v>
      </c>
      <c r="BP13" s="169">
        <v>3469</v>
      </c>
      <c r="BQ13" s="169">
        <v>231</v>
      </c>
      <c r="BR13" s="169">
        <v>4886</v>
      </c>
      <c r="BS13" s="169">
        <v>2112</v>
      </c>
      <c r="BT13" s="169">
        <v>2774</v>
      </c>
      <c r="BU13" s="169">
        <v>199</v>
      </c>
      <c r="BV13" s="169">
        <v>4446</v>
      </c>
      <c r="BW13" s="169">
        <v>1642</v>
      </c>
      <c r="BX13" s="169">
        <v>2804</v>
      </c>
      <c r="BY13" s="169">
        <v>123</v>
      </c>
      <c r="BZ13" s="169">
        <v>512638</v>
      </c>
      <c r="CA13" s="169">
        <v>259118</v>
      </c>
      <c r="CB13" s="169">
        <v>253520</v>
      </c>
      <c r="CC13" s="169">
        <v>35936</v>
      </c>
    </row>
    <row r="14" spans="1:81" x14ac:dyDescent="0.3">
      <c r="A14" s="47">
        <v>9</v>
      </c>
      <c r="B14" s="169">
        <v>310034</v>
      </c>
      <c r="C14" s="169">
        <v>155059</v>
      </c>
      <c r="D14" s="169">
        <v>154975</v>
      </c>
      <c r="E14" s="169">
        <v>30447</v>
      </c>
      <c r="F14" s="169">
        <v>26280</v>
      </c>
      <c r="G14" s="169">
        <v>13460</v>
      </c>
      <c r="H14" s="169">
        <v>12820</v>
      </c>
      <c r="I14" s="169">
        <v>4483</v>
      </c>
      <c r="J14" s="169">
        <v>25019</v>
      </c>
      <c r="K14" s="169">
        <v>12783</v>
      </c>
      <c r="L14" s="169">
        <v>12236</v>
      </c>
      <c r="M14" s="169">
        <v>3619</v>
      </c>
      <c r="N14" s="169">
        <v>22788</v>
      </c>
      <c r="O14" s="169">
        <v>11549</v>
      </c>
      <c r="P14" s="169">
        <v>11239</v>
      </c>
      <c r="Q14" s="169">
        <v>2343</v>
      </c>
      <c r="R14" s="169">
        <v>25040</v>
      </c>
      <c r="S14" s="169">
        <v>12963</v>
      </c>
      <c r="T14" s="169">
        <v>12077</v>
      </c>
      <c r="U14" s="169">
        <v>2677</v>
      </c>
      <c r="V14" s="169">
        <v>25491</v>
      </c>
      <c r="W14" s="169">
        <v>13099</v>
      </c>
      <c r="X14" s="169">
        <v>12392</v>
      </c>
      <c r="Y14" s="169">
        <v>2884</v>
      </c>
      <c r="Z14" s="169">
        <v>20342</v>
      </c>
      <c r="AA14" s="169">
        <v>10635</v>
      </c>
      <c r="AB14" s="169">
        <v>9707</v>
      </c>
      <c r="AC14" s="169">
        <v>2194</v>
      </c>
      <c r="AD14" s="169">
        <v>16960</v>
      </c>
      <c r="AE14" s="169">
        <v>8799</v>
      </c>
      <c r="AF14" s="169">
        <v>8161</v>
      </c>
      <c r="AG14" s="169">
        <v>1639</v>
      </c>
      <c r="AH14" s="169">
        <v>18175</v>
      </c>
      <c r="AI14" s="169">
        <v>9235</v>
      </c>
      <c r="AJ14" s="169">
        <v>8940</v>
      </c>
      <c r="AK14" s="169">
        <v>1517</v>
      </c>
      <c r="AL14" s="169">
        <v>17907</v>
      </c>
      <c r="AM14" s="169">
        <v>9000</v>
      </c>
      <c r="AN14" s="169">
        <v>8907</v>
      </c>
      <c r="AO14" s="169">
        <v>1546</v>
      </c>
      <c r="AP14" s="169">
        <v>20036</v>
      </c>
      <c r="AQ14" s="169">
        <v>10026</v>
      </c>
      <c r="AR14" s="169">
        <v>10010</v>
      </c>
      <c r="AS14" s="169">
        <v>1713</v>
      </c>
      <c r="AT14" s="169">
        <v>19930</v>
      </c>
      <c r="AU14" s="169">
        <v>9862</v>
      </c>
      <c r="AV14" s="169">
        <v>10068</v>
      </c>
      <c r="AW14" s="169">
        <v>1635</v>
      </c>
      <c r="AX14" s="169">
        <v>18586</v>
      </c>
      <c r="AY14" s="169">
        <v>9065</v>
      </c>
      <c r="AZ14" s="169">
        <v>9521</v>
      </c>
      <c r="BA14" s="169">
        <v>1286</v>
      </c>
      <c r="BB14" s="169">
        <v>15651</v>
      </c>
      <c r="BC14" s="169">
        <v>7759</v>
      </c>
      <c r="BD14" s="169">
        <v>7892</v>
      </c>
      <c r="BE14" s="169">
        <v>925</v>
      </c>
      <c r="BF14" s="169">
        <v>11782</v>
      </c>
      <c r="BG14" s="169">
        <v>5793</v>
      </c>
      <c r="BH14" s="169">
        <v>5989</v>
      </c>
      <c r="BI14" s="169">
        <v>660</v>
      </c>
      <c r="BJ14" s="169">
        <v>8745</v>
      </c>
      <c r="BK14" s="169">
        <v>4140</v>
      </c>
      <c r="BL14" s="169">
        <v>4605</v>
      </c>
      <c r="BM14" s="169">
        <v>529</v>
      </c>
      <c r="BN14" s="169">
        <v>6713</v>
      </c>
      <c r="BO14" s="169">
        <v>2957</v>
      </c>
      <c r="BP14" s="169">
        <v>3756</v>
      </c>
      <c r="BQ14" s="169">
        <v>359</v>
      </c>
      <c r="BR14" s="169">
        <v>5205</v>
      </c>
      <c r="BS14" s="169">
        <v>2192</v>
      </c>
      <c r="BT14" s="169">
        <v>3013</v>
      </c>
      <c r="BU14" s="169">
        <v>248</v>
      </c>
      <c r="BV14" s="169">
        <v>5384</v>
      </c>
      <c r="BW14" s="169">
        <v>1742</v>
      </c>
      <c r="BX14" s="169">
        <v>3642</v>
      </c>
      <c r="BY14" s="169">
        <v>190</v>
      </c>
      <c r="BZ14" s="169">
        <v>620068</v>
      </c>
      <c r="CA14" s="169">
        <v>310118</v>
      </c>
      <c r="CB14" s="169">
        <v>309950</v>
      </c>
      <c r="CC14" s="169">
        <v>60894</v>
      </c>
    </row>
    <row r="15" spans="1:81" x14ac:dyDescent="0.3">
      <c r="A15" s="47">
        <v>10</v>
      </c>
      <c r="B15" s="169">
        <v>202369</v>
      </c>
      <c r="C15" s="169">
        <v>101373</v>
      </c>
      <c r="D15" s="169">
        <v>100996</v>
      </c>
      <c r="E15" s="169">
        <v>17913</v>
      </c>
      <c r="F15" s="169">
        <v>11623</v>
      </c>
      <c r="G15" s="169">
        <v>6034</v>
      </c>
      <c r="H15" s="169">
        <v>5589</v>
      </c>
      <c r="I15" s="169">
        <v>1590</v>
      </c>
      <c r="J15" s="169">
        <v>11565</v>
      </c>
      <c r="K15" s="169">
        <v>5828</v>
      </c>
      <c r="L15" s="169">
        <v>5737</v>
      </c>
      <c r="M15" s="169">
        <v>1455</v>
      </c>
      <c r="N15" s="169">
        <v>12075</v>
      </c>
      <c r="O15" s="169">
        <v>6199</v>
      </c>
      <c r="P15" s="169">
        <v>5876</v>
      </c>
      <c r="Q15" s="169">
        <v>1362</v>
      </c>
      <c r="R15" s="169">
        <v>16702</v>
      </c>
      <c r="S15" s="169">
        <v>8514</v>
      </c>
      <c r="T15" s="169">
        <v>8188</v>
      </c>
      <c r="U15" s="169">
        <v>1751</v>
      </c>
      <c r="V15" s="169">
        <v>23080</v>
      </c>
      <c r="W15" s="169">
        <v>12484</v>
      </c>
      <c r="X15" s="169">
        <v>10596</v>
      </c>
      <c r="Y15" s="169">
        <v>2916</v>
      </c>
      <c r="Z15" s="169">
        <v>11933</v>
      </c>
      <c r="AA15" s="169">
        <v>6431</v>
      </c>
      <c r="AB15" s="169">
        <v>5502</v>
      </c>
      <c r="AC15" s="169">
        <v>1406</v>
      </c>
      <c r="AD15" s="169">
        <v>9123</v>
      </c>
      <c r="AE15" s="169">
        <v>4810</v>
      </c>
      <c r="AF15" s="169">
        <v>4313</v>
      </c>
      <c r="AG15" s="169">
        <v>1114</v>
      </c>
      <c r="AH15" s="169">
        <v>10040</v>
      </c>
      <c r="AI15" s="169">
        <v>5157</v>
      </c>
      <c r="AJ15" s="169">
        <v>4883</v>
      </c>
      <c r="AK15" s="169">
        <v>1101</v>
      </c>
      <c r="AL15" s="169">
        <v>11168</v>
      </c>
      <c r="AM15" s="169">
        <v>5447</v>
      </c>
      <c r="AN15" s="169">
        <v>5721</v>
      </c>
      <c r="AO15" s="169">
        <v>957</v>
      </c>
      <c r="AP15" s="169">
        <v>13208</v>
      </c>
      <c r="AQ15" s="169">
        <v>6467</v>
      </c>
      <c r="AR15" s="169">
        <v>6741</v>
      </c>
      <c r="AS15" s="169">
        <v>959</v>
      </c>
      <c r="AT15" s="169">
        <v>14467</v>
      </c>
      <c r="AU15" s="169">
        <v>7040</v>
      </c>
      <c r="AV15" s="169">
        <v>7427</v>
      </c>
      <c r="AW15" s="169">
        <v>846</v>
      </c>
      <c r="AX15" s="169">
        <v>14100</v>
      </c>
      <c r="AY15" s="169">
        <v>7064</v>
      </c>
      <c r="AZ15" s="169">
        <v>7036</v>
      </c>
      <c r="BA15" s="169">
        <v>710</v>
      </c>
      <c r="BB15" s="169">
        <v>12203</v>
      </c>
      <c r="BC15" s="169">
        <v>5973</v>
      </c>
      <c r="BD15" s="169">
        <v>6230</v>
      </c>
      <c r="BE15" s="169">
        <v>520</v>
      </c>
      <c r="BF15" s="169">
        <v>9535</v>
      </c>
      <c r="BG15" s="169">
        <v>4608</v>
      </c>
      <c r="BH15" s="169">
        <v>4927</v>
      </c>
      <c r="BI15" s="169">
        <v>397</v>
      </c>
      <c r="BJ15" s="169">
        <v>7070</v>
      </c>
      <c r="BK15" s="169">
        <v>3407</v>
      </c>
      <c r="BL15" s="169">
        <v>3663</v>
      </c>
      <c r="BM15" s="169">
        <v>298</v>
      </c>
      <c r="BN15" s="169">
        <v>5615</v>
      </c>
      <c r="BO15" s="169">
        <v>2506</v>
      </c>
      <c r="BP15" s="169">
        <v>3109</v>
      </c>
      <c r="BQ15" s="169">
        <v>237</v>
      </c>
      <c r="BR15" s="169">
        <v>4289</v>
      </c>
      <c r="BS15" s="169">
        <v>1841</v>
      </c>
      <c r="BT15" s="169">
        <v>2448</v>
      </c>
      <c r="BU15" s="169">
        <v>167</v>
      </c>
      <c r="BV15" s="169">
        <v>4573</v>
      </c>
      <c r="BW15" s="169">
        <v>1563</v>
      </c>
      <c r="BX15" s="169">
        <v>3010</v>
      </c>
      <c r="BY15" s="169">
        <v>127</v>
      </c>
      <c r="BZ15" s="169">
        <v>404738</v>
      </c>
      <c r="CA15" s="169">
        <v>202746</v>
      </c>
      <c r="CB15" s="169">
        <v>201992</v>
      </c>
      <c r="CC15" s="169">
        <v>35826</v>
      </c>
    </row>
    <row r="16" spans="1:81" x14ac:dyDescent="0.3">
      <c r="A16" s="47">
        <v>11</v>
      </c>
      <c r="B16" s="169">
        <v>245649</v>
      </c>
      <c r="C16" s="169">
        <v>124805</v>
      </c>
      <c r="D16" s="169">
        <v>120844</v>
      </c>
      <c r="E16" s="169">
        <v>17794</v>
      </c>
      <c r="F16" s="169">
        <v>21408</v>
      </c>
      <c r="G16" s="169">
        <v>10794</v>
      </c>
      <c r="H16" s="169">
        <v>10614</v>
      </c>
      <c r="I16" s="169">
        <v>2424</v>
      </c>
      <c r="J16" s="169">
        <v>20405</v>
      </c>
      <c r="K16" s="169">
        <v>10627</v>
      </c>
      <c r="L16" s="169">
        <v>9778</v>
      </c>
      <c r="M16" s="169">
        <v>2062</v>
      </c>
      <c r="N16" s="169">
        <v>19056</v>
      </c>
      <c r="O16" s="169">
        <v>9736</v>
      </c>
      <c r="P16" s="169">
        <v>9320</v>
      </c>
      <c r="Q16" s="169">
        <v>1569</v>
      </c>
      <c r="R16" s="169">
        <v>18562</v>
      </c>
      <c r="S16" s="169">
        <v>9678</v>
      </c>
      <c r="T16" s="169">
        <v>8884</v>
      </c>
      <c r="U16" s="169">
        <v>1439</v>
      </c>
      <c r="V16" s="169">
        <v>16158</v>
      </c>
      <c r="W16" s="169">
        <v>8563</v>
      </c>
      <c r="X16" s="169">
        <v>7595</v>
      </c>
      <c r="Y16" s="169">
        <v>1108</v>
      </c>
      <c r="Z16" s="169">
        <v>17752</v>
      </c>
      <c r="AA16" s="169">
        <v>9420</v>
      </c>
      <c r="AB16" s="169">
        <v>8332</v>
      </c>
      <c r="AC16" s="169">
        <v>1160</v>
      </c>
      <c r="AD16" s="169">
        <v>15765</v>
      </c>
      <c r="AE16" s="169">
        <v>8177</v>
      </c>
      <c r="AF16" s="169">
        <v>7588</v>
      </c>
      <c r="AG16" s="169">
        <v>1134</v>
      </c>
      <c r="AH16" s="169">
        <v>15444</v>
      </c>
      <c r="AI16" s="169">
        <v>8006</v>
      </c>
      <c r="AJ16" s="169">
        <v>7438</v>
      </c>
      <c r="AK16" s="169">
        <v>1105</v>
      </c>
      <c r="AL16" s="169">
        <v>15285</v>
      </c>
      <c r="AM16" s="169">
        <v>7747</v>
      </c>
      <c r="AN16" s="169">
        <v>7538</v>
      </c>
      <c r="AO16" s="169">
        <v>1050</v>
      </c>
      <c r="AP16" s="169">
        <v>16609</v>
      </c>
      <c r="AQ16" s="169">
        <v>8293</v>
      </c>
      <c r="AR16" s="169">
        <v>8316</v>
      </c>
      <c r="AS16" s="169">
        <v>1032</v>
      </c>
      <c r="AT16" s="169">
        <v>16725</v>
      </c>
      <c r="AU16" s="169">
        <v>8463</v>
      </c>
      <c r="AV16" s="169">
        <v>8262</v>
      </c>
      <c r="AW16" s="169">
        <v>993</v>
      </c>
      <c r="AX16" s="169">
        <v>15004</v>
      </c>
      <c r="AY16" s="169">
        <v>7567</v>
      </c>
      <c r="AZ16" s="169">
        <v>7437</v>
      </c>
      <c r="BA16" s="169">
        <v>778</v>
      </c>
      <c r="BB16" s="169">
        <v>11816</v>
      </c>
      <c r="BC16" s="169">
        <v>5948</v>
      </c>
      <c r="BD16" s="169">
        <v>5868</v>
      </c>
      <c r="BE16" s="169">
        <v>623</v>
      </c>
      <c r="BF16" s="169">
        <v>8464</v>
      </c>
      <c r="BG16" s="169">
        <v>4269</v>
      </c>
      <c r="BH16" s="169">
        <v>4195</v>
      </c>
      <c r="BI16" s="169">
        <v>530</v>
      </c>
      <c r="BJ16" s="169">
        <v>6011</v>
      </c>
      <c r="BK16" s="169">
        <v>2874</v>
      </c>
      <c r="BL16" s="169">
        <v>3137</v>
      </c>
      <c r="BM16" s="169">
        <v>343</v>
      </c>
      <c r="BN16" s="169">
        <v>4594</v>
      </c>
      <c r="BO16" s="169">
        <v>2087</v>
      </c>
      <c r="BP16" s="169">
        <v>2507</v>
      </c>
      <c r="BQ16" s="169">
        <v>199</v>
      </c>
      <c r="BR16" s="169">
        <v>3513</v>
      </c>
      <c r="BS16" s="169">
        <v>1485</v>
      </c>
      <c r="BT16" s="169">
        <v>2028</v>
      </c>
      <c r="BU16" s="169">
        <v>132</v>
      </c>
      <c r="BV16" s="169">
        <v>3078</v>
      </c>
      <c r="BW16" s="169">
        <v>1071</v>
      </c>
      <c r="BX16" s="169">
        <v>2007</v>
      </c>
      <c r="BY16" s="169">
        <v>113</v>
      </c>
      <c r="BZ16" s="169">
        <v>491298</v>
      </c>
      <c r="CA16" s="169">
        <v>249610</v>
      </c>
      <c r="CB16" s="169">
        <v>241688</v>
      </c>
      <c r="CC16" s="169">
        <v>35588</v>
      </c>
    </row>
    <row r="17" spans="1:81" x14ac:dyDescent="0.3">
      <c r="A17" s="47">
        <v>12</v>
      </c>
      <c r="B17" s="169">
        <v>468684</v>
      </c>
      <c r="C17" s="169">
        <v>230971</v>
      </c>
      <c r="D17" s="169">
        <v>237713</v>
      </c>
      <c r="E17" s="169">
        <v>40540</v>
      </c>
      <c r="F17" s="169">
        <v>30669</v>
      </c>
      <c r="G17" s="169">
        <v>15703</v>
      </c>
      <c r="H17" s="169">
        <v>14966</v>
      </c>
      <c r="I17" s="169">
        <v>4488</v>
      </c>
      <c r="J17" s="169">
        <v>29429</v>
      </c>
      <c r="K17" s="169">
        <v>15104</v>
      </c>
      <c r="L17" s="169">
        <v>14325</v>
      </c>
      <c r="M17" s="169">
        <v>3946</v>
      </c>
      <c r="N17" s="169">
        <v>29867</v>
      </c>
      <c r="O17" s="169">
        <v>15385</v>
      </c>
      <c r="P17" s="169">
        <v>14482</v>
      </c>
      <c r="Q17" s="169">
        <v>3454</v>
      </c>
      <c r="R17" s="169">
        <v>32725</v>
      </c>
      <c r="S17" s="169">
        <v>16436</v>
      </c>
      <c r="T17" s="169">
        <v>16289</v>
      </c>
      <c r="U17" s="169">
        <v>3638</v>
      </c>
      <c r="V17" s="169">
        <v>34733</v>
      </c>
      <c r="W17" s="169">
        <v>17866</v>
      </c>
      <c r="X17" s="169">
        <v>16867</v>
      </c>
      <c r="Y17" s="169">
        <v>3709</v>
      </c>
      <c r="Z17" s="169">
        <v>37605</v>
      </c>
      <c r="AA17" s="169">
        <v>19255</v>
      </c>
      <c r="AB17" s="169">
        <v>18350</v>
      </c>
      <c r="AC17" s="169">
        <v>3492</v>
      </c>
      <c r="AD17" s="169">
        <v>30882</v>
      </c>
      <c r="AE17" s="169">
        <v>15563</v>
      </c>
      <c r="AF17" s="169">
        <v>15319</v>
      </c>
      <c r="AG17" s="169">
        <v>3002</v>
      </c>
      <c r="AH17" s="169">
        <v>28725</v>
      </c>
      <c r="AI17" s="169">
        <v>14640</v>
      </c>
      <c r="AJ17" s="169">
        <v>14085</v>
      </c>
      <c r="AK17" s="169">
        <v>2615</v>
      </c>
      <c r="AL17" s="169">
        <v>29169</v>
      </c>
      <c r="AM17" s="169">
        <v>14746</v>
      </c>
      <c r="AN17" s="169">
        <v>14423</v>
      </c>
      <c r="AO17" s="169">
        <v>2217</v>
      </c>
      <c r="AP17" s="169">
        <v>33831</v>
      </c>
      <c r="AQ17" s="169">
        <v>16593</v>
      </c>
      <c r="AR17" s="169">
        <v>17238</v>
      </c>
      <c r="AS17" s="169">
        <v>2269</v>
      </c>
      <c r="AT17" s="169">
        <v>33851</v>
      </c>
      <c r="AU17" s="169">
        <v>16595</v>
      </c>
      <c r="AV17" s="169">
        <v>17256</v>
      </c>
      <c r="AW17" s="169">
        <v>2098</v>
      </c>
      <c r="AX17" s="169">
        <v>31046</v>
      </c>
      <c r="AY17" s="169">
        <v>15051</v>
      </c>
      <c r="AZ17" s="169">
        <v>15995</v>
      </c>
      <c r="BA17" s="169">
        <v>1779</v>
      </c>
      <c r="BB17" s="169">
        <v>25200</v>
      </c>
      <c r="BC17" s="169">
        <v>12328</v>
      </c>
      <c r="BD17" s="169">
        <v>12872</v>
      </c>
      <c r="BE17" s="169">
        <v>1304</v>
      </c>
      <c r="BF17" s="169">
        <v>17795</v>
      </c>
      <c r="BG17" s="169">
        <v>8422</v>
      </c>
      <c r="BH17" s="169">
        <v>9373</v>
      </c>
      <c r="BI17" s="169">
        <v>867</v>
      </c>
      <c r="BJ17" s="169">
        <v>13534</v>
      </c>
      <c r="BK17" s="169">
        <v>6119</v>
      </c>
      <c r="BL17" s="169">
        <v>7415</v>
      </c>
      <c r="BM17" s="169">
        <v>595</v>
      </c>
      <c r="BN17" s="169">
        <v>11324</v>
      </c>
      <c r="BO17" s="169">
        <v>4913</v>
      </c>
      <c r="BP17" s="169">
        <v>6411</v>
      </c>
      <c r="BQ17" s="169">
        <v>508</v>
      </c>
      <c r="BR17" s="169">
        <v>8751</v>
      </c>
      <c r="BS17" s="169">
        <v>3329</v>
      </c>
      <c r="BT17" s="169">
        <v>5422</v>
      </c>
      <c r="BU17" s="169">
        <v>266</v>
      </c>
      <c r="BV17" s="169">
        <v>9548</v>
      </c>
      <c r="BW17" s="169">
        <v>2923</v>
      </c>
      <c r="BX17" s="169">
        <v>6625</v>
      </c>
      <c r="BY17" s="169">
        <v>293</v>
      </c>
      <c r="BZ17" s="169">
        <v>937368</v>
      </c>
      <c r="CA17" s="169">
        <v>461942</v>
      </c>
      <c r="CB17" s="169">
        <v>475426</v>
      </c>
      <c r="CC17" s="169">
        <v>81080</v>
      </c>
    </row>
    <row r="18" spans="1:81" x14ac:dyDescent="0.3">
      <c r="A18" s="47" t="s">
        <v>188</v>
      </c>
      <c r="B18" s="169">
        <v>6664195</v>
      </c>
      <c r="C18" s="169">
        <v>3328953</v>
      </c>
      <c r="D18" s="169">
        <v>3335242</v>
      </c>
      <c r="E18" s="169">
        <v>1079893</v>
      </c>
      <c r="F18" s="169">
        <v>450617</v>
      </c>
      <c r="G18" s="169">
        <v>230126</v>
      </c>
      <c r="H18" s="169">
        <v>220491</v>
      </c>
      <c r="I18" s="169">
        <v>106059</v>
      </c>
      <c r="J18" s="169">
        <v>429163</v>
      </c>
      <c r="K18" s="169">
        <v>218951</v>
      </c>
      <c r="L18" s="169">
        <v>210212</v>
      </c>
      <c r="M18" s="169">
        <v>92099</v>
      </c>
      <c r="N18" s="169">
        <v>421743</v>
      </c>
      <c r="O18" s="169">
        <v>215763</v>
      </c>
      <c r="P18" s="169">
        <v>205980</v>
      </c>
      <c r="Q18" s="169">
        <v>81645</v>
      </c>
      <c r="R18" s="169">
        <v>445124</v>
      </c>
      <c r="S18" s="169">
        <v>230108</v>
      </c>
      <c r="T18" s="169">
        <v>215016</v>
      </c>
      <c r="U18" s="169">
        <v>82272</v>
      </c>
      <c r="V18" s="169">
        <v>467561</v>
      </c>
      <c r="W18" s="169">
        <v>244970</v>
      </c>
      <c r="X18" s="169">
        <v>222591</v>
      </c>
      <c r="Y18" s="169">
        <v>85153</v>
      </c>
      <c r="Z18" s="169">
        <v>503110</v>
      </c>
      <c r="AA18" s="169">
        <v>259929</v>
      </c>
      <c r="AB18" s="169">
        <v>243181</v>
      </c>
      <c r="AC18" s="169">
        <v>93305</v>
      </c>
      <c r="AD18" s="169">
        <v>445663</v>
      </c>
      <c r="AE18" s="169">
        <v>227201</v>
      </c>
      <c r="AF18" s="169">
        <v>218462</v>
      </c>
      <c r="AG18" s="169">
        <v>84970</v>
      </c>
      <c r="AH18" s="169">
        <v>452661</v>
      </c>
      <c r="AI18" s="169">
        <v>230874</v>
      </c>
      <c r="AJ18" s="169">
        <v>221787</v>
      </c>
      <c r="AK18" s="169">
        <v>82698</v>
      </c>
      <c r="AL18" s="169">
        <v>453660</v>
      </c>
      <c r="AM18" s="169">
        <v>229613</v>
      </c>
      <c r="AN18" s="169">
        <v>224047</v>
      </c>
      <c r="AO18" s="169">
        <v>72267</v>
      </c>
      <c r="AP18" s="169">
        <v>497121</v>
      </c>
      <c r="AQ18" s="169">
        <v>248229</v>
      </c>
      <c r="AR18" s="169">
        <v>248892</v>
      </c>
      <c r="AS18" s="169">
        <v>70119</v>
      </c>
      <c r="AT18" s="169">
        <v>489983</v>
      </c>
      <c r="AU18" s="169">
        <v>242950</v>
      </c>
      <c r="AV18" s="169">
        <v>247033</v>
      </c>
      <c r="AW18" s="169">
        <v>63353</v>
      </c>
      <c r="AX18" s="169">
        <v>440185</v>
      </c>
      <c r="AY18" s="169">
        <v>216036</v>
      </c>
      <c r="AZ18" s="169">
        <v>224149</v>
      </c>
      <c r="BA18" s="169">
        <v>51617</v>
      </c>
      <c r="BB18" s="169">
        <v>361402</v>
      </c>
      <c r="BC18" s="169">
        <v>176469</v>
      </c>
      <c r="BD18" s="169">
        <v>184933</v>
      </c>
      <c r="BE18" s="169">
        <v>38044</v>
      </c>
      <c r="BF18" s="169">
        <v>255108</v>
      </c>
      <c r="BG18" s="169">
        <v>124136</v>
      </c>
      <c r="BH18" s="169">
        <v>130972</v>
      </c>
      <c r="BI18" s="169">
        <v>26319</v>
      </c>
      <c r="BJ18" s="169">
        <v>182380</v>
      </c>
      <c r="BK18" s="169">
        <v>85912</v>
      </c>
      <c r="BL18" s="169">
        <v>96468</v>
      </c>
      <c r="BM18" s="169">
        <v>19193</v>
      </c>
      <c r="BN18" s="169">
        <v>143361</v>
      </c>
      <c r="BO18" s="169">
        <v>64013</v>
      </c>
      <c r="BP18" s="169">
        <v>79348</v>
      </c>
      <c r="BQ18" s="169">
        <v>13747</v>
      </c>
      <c r="BR18" s="169">
        <v>112537</v>
      </c>
      <c r="BS18" s="169">
        <v>46064</v>
      </c>
      <c r="BT18" s="169">
        <v>66473</v>
      </c>
      <c r="BU18" s="169">
        <v>9368</v>
      </c>
      <c r="BV18" s="169">
        <v>112816</v>
      </c>
      <c r="BW18" s="169">
        <v>37609</v>
      </c>
      <c r="BX18" s="169">
        <v>75207</v>
      </c>
      <c r="BY18" s="169">
        <v>7665</v>
      </c>
      <c r="BZ18" s="169">
        <v>13328390</v>
      </c>
      <c r="CA18" s="169">
        <v>6657906</v>
      </c>
      <c r="CB18" s="169">
        <v>6670484</v>
      </c>
      <c r="CC18" s="169">
        <v>2159786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topLeftCell="A5" workbookViewId="0">
      <selection activeCell="J38" sqref="J38"/>
    </sheetView>
  </sheetViews>
  <sheetFormatPr defaultColWidth="8.796875" defaultRowHeight="15" x14ac:dyDescent="0.25"/>
  <cols>
    <col min="1" max="1" width="8.796875" style="157"/>
    <col min="2" max="9" width="11" style="157" customWidth="1"/>
    <col min="10" max="10" width="13.59765625" style="157" customWidth="1"/>
    <col min="11" max="11" width="16.69921875" style="157" customWidth="1"/>
    <col min="12" max="16384" width="8.796875" style="157"/>
  </cols>
  <sheetData>
    <row r="1" spans="1:12" x14ac:dyDescent="0.25">
      <c r="A1" s="157" t="s">
        <v>160</v>
      </c>
    </row>
    <row r="2" spans="1:12" x14ac:dyDescent="0.25">
      <c r="A2" s="157" t="s">
        <v>159</v>
      </c>
    </row>
    <row r="3" spans="1:12" x14ac:dyDescent="0.25">
      <c r="A3" s="157" t="s">
        <v>158</v>
      </c>
    </row>
    <row r="4" spans="1:12" ht="30" x14ac:dyDescent="0.25">
      <c r="B4" s="161" t="s">
        <v>157</v>
      </c>
      <c r="C4" s="161" t="s">
        <v>156</v>
      </c>
      <c r="D4" s="161" t="s">
        <v>155</v>
      </c>
      <c r="E4" s="161" t="s">
        <v>154</v>
      </c>
      <c r="F4" s="161" t="s">
        <v>153</v>
      </c>
      <c r="G4" s="161" t="s">
        <v>152</v>
      </c>
      <c r="H4" s="161" t="s">
        <v>151</v>
      </c>
      <c r="I4" s="161" t="s">
        <v>150</v>
      </c>
      <c r="J4" s="157" t="s">
        <v>326</v>
      </c>
      <c r="K4" s="161" t="s">
        <v>149</v>
      </c>
      <c r="L4" s="157" t="s">
        <v>28</v>
      </c>
    </row>
    <row r="5" spans="1:12" x14ac:dyDescent="0.25">
      <c r="A5" s="157" t="s">
        <v>148</v>
      </c>
      <c r="B5" s="160">
        <v>232378</v>
      </c>
      <c r="C5" s="160">
        <v>4667</v>
      </c>
      <c r="D5" s="160">
        <v>13824</v>
      </c>
      <c r="E5" s="160">
        <v>59419</v>
      </c>
      <c r="F5" s="160">
        <v>65870</v>
      </c>
      <c r="G5" s="160">
        <v>24000</v>
      </c>
      <c r="H5" s="160">
        <v>39843</v>
      </c>
      <c r="I5" s="160">
        <v>24755</v>
      </c>
      <c r="J5" s="160">
        <f>SUM(E5:I5)</f>
        <v>213887</v>
      </c>
      <c r="K5" s="160">
        <f t="shared" ref="K5:K16" si="0">H5+I5</f>
        <v>64598</v>
      </c>
      <c r="L5" s="375">
        <v>2.3E-2</v>
      </c>
    </row>
    <row r="6" spans="1:12" x14ac:dyDescent="0.25">
      <c r="A6" s="157" t="s">
        <v>147</v>
      </c>
      <c r="B6" s="160">
        <v>316438</v>
      </c>
      <c r="C6" s="160">
        <v>9789</v>
      </c>
      <c r="D6" s="160">
        <v>25435</v>
      </c>
      <c r="E6" s="160">
        <v>92255</v>
      </c>
      <c r="F6" s="160">
        <v>84342</v>
      </c>
      <c r="G6" s="160">
        <v>29097</v>
      </c>
      <c r="H6" s="160">
        <v>47478</v>
      </c>
      <c r="I6" s="160">
        <v>28042</v>
      </c>
      <c r="J6" s="160">
        <f t="shared" ref="J6:J16" si="1">SUM(E6:I6)</f>
        <v>281214</v>
      </c>
      <c r="K6" s="160">
        <f t="shared" si="0"/>
        <v>75520</v>
      </c>
      <c r="L6" s="375">
        <v>3.7999999999999999E-2</v>
      </c>
    </row>
    <row r="7" spans="1:12" x14ac:dyDescent="0.25">
      <c r="A7" s="157" t="s">
        <v>146</v>
      </c>
      <c r="B7" s="160">
        <v>263025</v>
      </c>
      <c r="C7" s="160">
        <v>9298</v>
      </c>
      <c r="D7" s="160">
        <v>16470</v>
      </c>
      <c r="E7" s="160">
        <v>66642</v>
      </c>
      <c r="F7" s="160">
        <v>68631</v>
      </c>
      <c r="G7" s="160">
        <v>25824</v>
      </c>
      <c r="H7" s="160">
        <v>48659</v>
      </c>
      <c r="I7" s="160">
        <v>27501</v>
      </c>
      <c r="J7" s="160">
        <f t="shared" si="1"/>
        <v>237257</v>
      </c>
      <c r="K7" s="160">
        <f t="shared" si="0"/>
        <v>76160</v>
      </c>
      <c r="L7" s="375">
        <v>3.9E-2</v>
      </c>
    </row>
    <row r="8" spans="1:12" x14ac:dyDescent="0.25">
      <c r="A8" s="157" t="s">
        <v>145</v>
      </c>
      <c r="B8" s="160">
        <v>444975</v>
      </c>
      <c r="C8" s="160">
        <v>12216</v>
      </c>
      <c r="D8" s="160">
        <v>29975</v>
      </c>
      <c r="E8" s="160">
        <v>115594</v>
      </c>
      <c r="F8" s="160">
        <v>117160</v>
      </c>
      <c r="G8" s="160">
        <v>45960</v>
      </c>
      <c r="H8" s="160">
        <v>87243</v>
      </c>
      <c r="I8" s="160">
        <v>36827</v>
      </c>
      <c r="J8" s="160">
        <f t="shared" si="1"/>
        <v>402784</v>
      </c>
      <c r="K8" s="160">
        <f t="shared" si="0"/>
        <v>124070</v>
      </c>
      <c r="L8" s="375">
        <v>4.4999999999999998E-2</v>
      </c>
    </row>
    <row r="9" spans="1:12" x14ac:dyDescent="0.25">
      <c r="A9" s="157" t="s">
        <v>144</v>
      </c>
      <c r="B9" s="160">
        <v>1296185</v>
      </c>
      <c r="C9" s="160">
        <v>43683</v>
      </c>
      <c r="D9" s="160">
        <v>62165</v>
      </c>
      <c r="E9" s="160">
        <v>234272</v>
      </c>
      <c r="F9" s="160">
        <v>270465</v>
      </c>
      <c r="G9" s="160">
        <v>104660</v>
      </c>
      <c r="H9" s="160">
        <v>372843</v>
      </c>
      <c r="I9" s="160">
        <v>208097</v>
      </c>
      <c r="J9" s="160">
        <f t="shared" si="1"/>
        <v>1190337</v>
      </c>
      <c r="K9" s="160">
        <f t="shared" si="0"/>
        <v>580940</v>
      </c>
      <c r="L9" s="375">
        <v>3.2000000000000001E-2</v>
      </c>
    </row>
    <row r="10" spans="1:12" x14ac:dyDescent="0.25">
      <c r="A10" s="157" t="s">
        <v>143</v>
      </c>
      <c r="B10" s="160">
        <v>497186</v>
      </c>
      <c r="C10" s="160">
        <v>15718</v>
      </c>
      <c r="D10" s="160">
        <v>35518</v>
      </c>
      <c r="E10" s="160">
        <v>147771</v>
      </c>
      <c r="F10" s="160">
        <v>133025</v>
      </c>
      <c r="G10" s="160">
        <v>49214</v>
      </c>
      <c r="H10" s="160">
        <v>76704</v>
      </c>
      <c r="I10" s="160">
        <v>39236</v>
      </c>
      <c r="J10" s="160">
        <f t="shared" si="1"/>
        <v>445950</v>
      </c>
      <c r="K10" s="160">
        <f t="shared" si="0"/>
        <v>115940</v>
      </c>
      <c r="L10" s="375">
        <v>5.8000000000000003E-2</v>
      </c>
    </row>
    <row r="11" spans="1:12" x14ac:dyDescent="0.25">
      <c r="A11" s="157" t="s">
        <v>142</v>
      </c>
      <c r="B11" s="160">
        <v>340383</v>
      </c>
      <c r="C11" s="160">
        <v>9754</v>
      </c>
      <c r="D11" s="160">
        <v>25285</v>
      </c>
      <c r="E11" s="160">
        <v>93585</v>
      </c>
      <c r="F11" s="160">
        <v>98496</v>
      </c>
      <c r="G11" s="160">
        <v>34242</v>
      </c>
      <c r="H11" s="160">
        <v>52228</v>
      </c>
      <c r="I11" s="160">
        <v>26793</v>
      </c>
      <c r="J11" s="160">
        <f t="shared" si="1"/>
        <v>305344</v>
      </c>
      <c r="K11" s="160">
        <f t="shared" si="0"/>
        <v>79021</v>
      </c>
      <c r="L11" s="375">
        <v>3.6999999999999998E-2</v>
      </c>
    </row>
    <row r="12" spans="1:12" x14ac:dyDescent="0.25">
      <c r="A12" s="157" t="s">
        <v>141</v>
      </c>
      <c r="B12" s="160">
        <v>154208</v>
      </c>
      <c r="C12" s="160">
        <v>17743</v>
      </c>
      <c r="D12" s="160">
        <v>15685</v>
      </c>
      <c r="E12" s="160">
        <v>44326</v>
      </c>
      <c r="F12" s="160">
        <v>34651</v>
      </c>
      <c r="G12" s="160">
        <v>14061</v>
      </c>
      <c r="H12" s="160">
        <v>18272</v>
      </c>
      <c r="I12" s="160">
        <v>9470</v>
      </c>
      <c r="J12" s="160">
        <f t="shared" si="1"/>
        <v>120780</v>
      </c>
      <c r="K12" s="160">
        <f t="shared" si="0"/>
        <v>27742</v>
      </c>
      <c r="L12" s="375">
        <v>5.6000000000000001E-2</v>
      </c>
    </row>
    <row r="13" spans="1:12" x14ac:dyDescent="0.25">
      <c r="A13" s="157" t="s">
        <v>140</v>
      </c>
      <c r="B13" s="160">
        <v>179957</v>
      </c>
      <c r="C13" s="160">
        <v>23884</v>
      </c>
      <c r="D13" s="160">
        <v>20598</v>
      </c>
      <c r="E13" s="160">
        <v>52761</v>
      </c>
      <c r="F13" s="160">
        <v>39081</v>
      </c>
      <c r="G13" s="160">
        <v>11678</v>
      </c>
      <c r="H13" s="160">
        <v>19927</v>
      </c>
      <c r="I13" s="160">
        <v>12028</v>
      </c>
      <c r="J13" s="160">
        <f t="shared" si="1"/>
        <v>135475</v>
      </c>
      <c r="K13" s="160">
        <f t="shared" si="0"/>
        <v>31955</v>
      </c>
      <c r="L13" s="376">
        <v>5.8000000000000003E-2</v>
      </c>
    </row>
    <row r="14" spans="1:12" x14ac:dyDescent="0.25">
      <c r="A14" s="157" t="s">
        <v>139</v>
      </c>
      <c r="B14" s="160">
        <v>299417</v>
      </c>
      <c r="C14" s="160">
        <v>6271</v>
      </c>
      <c r="D14" s="160">
        <v>19206</v>
      </c>
      <c r="E14" s="160">
        <v>76422</v>
      </c>
      <c r="F14" s="160">
        <v>80862</v>
      </c>
      <c r="G14" s="160">
        <v>35148</v>
      </c>
      <c r="H14" s="160">
        <v>52134</v>
      </c>
      <c r="I14" s="160">
        <v>29374</v>
      </c>
      <c r="J14" s="160">
        <f t="shared" si="1"/>
        <v>273940</v>
      </c>
      <c r="K14" s="160">
        <f t="shared" si="0"/>
        <v>81508</v>
      </c>
      <c r="L14" s="376">
        <v>2.1000000000000001E-2</v>
      </c>
    </row>
    <row r="15" spans="1:12" x14ac:dyDescent="0.25">
      <c r="A15" s="157" t="s">
        <v>138</v>
      </c>
      <c r="B15" s="160">
        <v>124751</v>
      </c>
      <c r="C15" s="160">
        <v>4784</v>
      </c>
      <c r="D15" s="160">
        <v>9420</v>
      </c>
      <c r="E15" s="160">
        <v>37189</v>
      </c>
      <c r="F15" s="160">
        <v>31444</v>
      </c>
      <c r="G15" s="160">
        <v>12074</v>
      </c>
      <c r="H15" s="160">
        <v>18188</v>
      </c>
      <c r="I15" s="160">
        <v>11652</v>
      </c>
      <c r="J15" s="160">
        <f t="shared" si="1"/>
        <v>110547</v>
      </c>
      <c r="K15" s="160">
        <f t="shared" si="0"/>
        <v>29840</v>
      </c>
      <c r="L15" s="376">
        <v>0.04</v>
      </c>
    </row>
    <row r="16" spans="1:12" x14ac:dyDescent="0.25">
      <c r="A16" s="157" t="s">
        <v>137</v>
      </c>
      <c r="B16" s="160">
        <v>140535</v>
      </c>
      <c r="C16" s="160">
        <v>13670</v>
      </c>
      <c r="D16" s="160">
        <v>11249</v>
      </c>
      <c r="E16" s="160">
        <v>36102</v>
      </c>
      <c r="F16" s="160">
        <v>33645</v>
      </c>
      <c r="G16" s="160">
        <v>12624</v>
      </c>
      <c r="H16" s="160">
        <v>20153</v>
      </c>
      <c r="I16" s="160">
        <v>13092</v>
      </c>
      <c r="J16" s="160">
        <f t="shared" si="1"/>
        <v>115616</v>
      </c>
      <c r="K16" s="160">
        <f t="shared" si="0"/>
        <v>33245</v>
      </c>
      <c r="L16" s="376">
        <v>3.7999999999999999E-2</v>
      </c>
    </row>
    <row r="17" spans="1:12" x14ac:dyDescent="0.25">
      <c r="L17" s="188"/>
    </row>
    <row r="18" spans="1:12" ht="18.75" x14ac:dyDescent="0.3">
      <c r="A18" s="157" t="s">
        <v>148</v>
      </c>
      <c r="B18" s="159">
        <f t="shared" ref="B18:I29" si="2">B5/$B5</f>
        <v>1</v>
      </c>
      <c r="C18" s="159">
        <f t="shared" si="2"/>
        <v>2.0083656800557712E-2</v>
      </c>
      <c r="D18" s="159">
        <f t="shared" si="2"/>
        <v>5.94892803965952E-2</v>
      </c>
      <c r="E18" s="159">
        <f t="shared" si="2"/>
        <v>0.25569976503799846</v>
      </c>
      <c r="F18" s="159">
        <f t="shared" si="2"/>
        <v>0.28346056855640378</v>
      </c>
      <c r="G18" s="159">
        <f t="shared" si="2"/>
        <v>0.10328000068853334</v>
      </c>
      <c r="H18" s="159">
        <f t="shared" si="2"/>
        <v>0.17145771114305142</v>
      </c>
      <c r="I18" s="159">
        <f t="shared" si="2"/>
        <v>0.10652901737686012</v>
      </c>
      <c r="K18" s="159">
        <f t="shared" ref="K18:K29" si="3">H18+I18</f>
        <v>0.27798672851991152</v>
      </c>
    </row>
    <row r="19" spans="1:12" ht="18.75" x14ac:dyDescent="0.3">
      <c r="A19" s="157" t="s">
        <v>147</v>
      </c>
      <c r="B19" s="159">
        <f t="shared" si="2"/>
        <v>1</v>
      </c>
      <c r="C19" s="159">
        <f t="shared" si="2"/>
        <v>3.0934969883515885E-2</v>
      </c>
      <c r="D19" s="159">
        <f t="shared" si="2"/>
        <v>8.0379094798981157E-2</v>
      </c>
      <c r="E19" s="159">
        <f t="shared" si="2"/>
        <v>0.2915421030344017</v>
      </c>
      <c r="F19" s="159">
        <f t="shared" si="2"/>
        <v>0.26653562467213165</v>
      </c>
      <c r="G19" s="159">
        <f t="shared" si="2"/>
        <v>9.1951661936935519E-2</v>
      </c>
      <c r="H19" s="159">
        <f t="shared" si="2"/>
        <v>0.15003887017362011</v>
      </c>
      <c r="I19" s="159">
        <f t="shared" si="2"/>
        <v>8.8617675500413981E-2</v>
      </c>
      <c r="K19" s="159">
        <f t="shared" si="3"/>
        <v>0.2386565456740341</v>
      </c>
    </row>
    <row r="20" spans="1:12" ht="18.75" x14ac:dyDescent="0.3">
      <c r="A20" s="157" t="s">
        <v>146</v>
      </c>
      <c r="B20" s="159">
        <f t="shared" si="2"/>
        <v>1</v>
      </c>
      <c r="C20" s="159">
        <f t="shared" si="2"/>
        <v>3.5350251877197987E-2</v>
      </c>
      <c r="D20" s="159">
        <f t="shared" si="2"/>
        <v>6.261762189905902E-2</v>
      </c>
      <c r="E20" s="159">
        <f t="shared" si="2"/>
        <v>0.2533675506130596</v>
      </c>
      <c r="F20" s="159">
        <f t="shared" si="2"/>
        <v>0.26092956943256346</v>
      </c>
      <c r="G20" s="159">
        <f t="shared" si="2"/>
        <v>9.8180781294553751E-2</v>
      </c>
      <c r="H20" s="159">
        <f t="shared" si="2"/>
        <v>0.18499762380001902</v>
      </c>
      <c r="I20" s="159">
        <f t="shared" si="2"/>
        <v>0.1045566010835472</v>
      </c>
      <c r="K20" s="159">
        <f t="shared" si="3"/>
        <v>0.28955422488356619</v>
      </c>
    </row>
    <row r="21" spans="1:12" ht="18.75" x14ac:dyDescent="0.3">
      <c r="A21" s="157" t="s">
        <v>145</v>
      </c>
      <c r="B21" s="159">
        <f t="shared" si="2"/>
        <v>1</v>
      </c>
      <c r="C21" s="159">
        <f t="shared" si="2"/>
        <v>2.7453227709421879E-2</v>
      </c>
      <c r="D21" s="159">
        <f t="shared" si="2"/>
        <v>6.7363335018821288E-2</v>
      </c>
      <c r="E21" s="159">
        <f t="shared" si="2"/>
        <v>0.25977639193213103</v>
      </c>
      <c r="F21" s="159">
        <f t="shared" si="2"/>
        <v>0.26329569076914433</v>
      </c>
      <c r="G21" s="159">
        <f t="shared" si="2"/>
        <v>0.10328670150008427</v>
      </c>
      <c r="H21" s="159">
        <f t="shared" si="2"/>
        <v>0.19606270015169391</v>
      </c>
      <c r="I21" s="159">
        <f t="shared" si="2"/>
        <v>8.2761952918703294E-2</v>
      </c>
      <c r="K21" s="159">
        <f t="shared" si="3"/>
        <v>0.27882465307039722</v>
      </c>
    </row>
    <row r="22" spans="1:12" ht="18.75" x14ac:dyDescent="0.3">
      <c r="A22" s="157" t="s">
        <v>144</v>
      </c>
      <c r="B22" s="159">
        <f t="shared" si="2"/>
        <v>1</v>
      </c>
      <c r="C22" s="159">
        <f t="shared" si="2"/>
        <v>3.3701207775124691E-2</v>
      </c>
      <c r="D22" s="159">
        <f t="shared" si="2"/>
        <v>4.7959974849269199E-2</v>
      </c>
      <c r="E22" s="159">
        <f t="shared" si="2"/>
        <v>0.18073963207412522</v>
      </c>
      <c r="F22" s="159">
        <f t="shared" si="2"/>
        <v>0.2086623437240826</v>
      </c>
      <c r="G22" s="159">
        <f t="shared" si="2"/>
        <v>8.0744646790388716E-2</v>
      </c>
      <c r="H22" s="159">
        <f t="shared" si="2"/>
        <v>0.2876464393585792</v>
      </c>
      <c r="I22" s="159">
        <f t="shared" si="2"/>
        <v>0.16054575542843036</v>
      </c>
      <c r="K22" s="159">
        <f t="shared" si="3"/>
        <v>0.44819219478700956</v>
      </c>
    </row>
    <row r="23" spans="1:12" ht="18.75" x14ac:dyDescent="0.3">
      <c r="A23" s="157" t="s">
        <v>143</v>
      </c>
      <c r="B23" s="159">
        <f t="shared" si="2"/>
        <v>1</v>
      </c>
      <c r="C23" s="159">
        <f t="shared" si="2"/>
        <v>3.1613923159541903E-2</v>
      </c>
      <c r="D23" s="159">
        <f t="shared" si="2"/>
        <v>7.1438053364334481E-2</v>
      </c>
      <c r="E23" s="159">
        <f t="shared" si="2"/>
        <v>0.2972147244693133</v>
      </c>
      <c r="F23" s="159">
        <f t="shared" si="2"/>
        <v>0.2675558040652794</v>
      </c>
      <c r="G23" s="159">
        <f t="shared" si="2"/>
        <v>9.8985088075689981E-2</v>
      </c>
      <c r="H23" s="159">
        <f t="shared" si="2"/>
        <v>0.15427626682971765</v>
      </c>
      <c r="I23" s="159">
        <f t="shared" si="2"/>
        <v>7.8916140036123308E-2</v>
      </c>
      <c r="K23" s="159">
        <f t="shared" si="3"/>
        <v>0.23319240686584097</v>
      </c>
    </row>
    <row r="24" spans="1:12" ht="18.75" x14ac:dyDescent="0.3">
      <c r="A24" s="157" t="s">
        <v>142</v>
      </c>
      <c r="B24" s="159">
        <f t="shared" si="2"/>
        <v>1</v>
      </c>
      <c r="C24" s="159">
        <f t="shared" si="2"/>
        <v>2.8655955203403225E-2</v>
      </c>
      <c r="D24" s="159">
        <f t="shared" si="2"/>
        <v>7.4283968353296134E-2</v>
      </c>
      <c r="E24" s="159">
        <f t="shared" si="2"/>
        <v>0.27494028785221353</v>
      </c>
      <c r="F24" s="159">
        <f t="shared" si="2"/>
        <v>0.28936815293360713</v>
      </c>
      <c r="G24" s="159">
        <f t="shared" si="2"/>
        <v>0.10059844351803704</v>
      </c>
      <c r="H24" s="159">
        <f t="shared" si="2"/>
        <v>0.15343892027510186</v>
      </c>
      <c r="I24" s="159">
        <f t="shared" si="2"/>
        <v>7.8714271864341046E-2</v>
      </c>
      <c r="K24" s="159">
        <f t="shared" si="3"/>
        <v>0.23215319213944291</v>
      </c>
    </row>
    <row r="25" spans="1:12" ht="18.75" x14ac:dyDescent="0.3">
      <c r="A25" s="157" t="s">
        <v>141</v>
      </c>
      <c r="B25" s="159">
        <f t="shared" si="2"/>
        <v>1</v>
      </c>
      <c r="C25" s="159">
        <f t="shared" si="2"/>
        <v>0.11505888151068687</v>
      </c>
      <c r="D25" s="159">
        <f t="shared" si="2"/>
        <v>0.10171327038804731</v>
      </c>
      <c r="E25" s="159">
        <f t="shared" si="2"/>
        <v>0.28744293421871758</v>
      </c>
      <c r="F25" s="159">
        <f t="shared" si="2"/>
        <v>0.22470299854741649</v>
      </c>
      <c r="G25" s="159">
        <f t="shared" si="2"/>
        <v>9.1182039842290938E-2</v>
      </c>
      <c r="H25" s="159">
        <f t="shared" si="2"/>
        <v>0.11848931313550529</v>
      </c>
      <c r="I25" s="159">
        <f t="shared" si="2"/>
        <v>6.1410562357335545E-2</v>
      </c>
      <c r="K25" s="159">
        <f t="shared" si="3"/>
        <v>0.17989987549284084</v>
      </c>
    </row>
    <row r="26" spans="1:12" ht="18.75" x14ac:dyDescent="0.3">
      <c r="A26" s="157" t="s">
        <v>140</v>
      </c>
      <c r="B26" s="159">
        <f t="shared" si="2"/>
        <v>1</v>
      </c>
      <c r="C26" s="159">
        <f t="shared" si="2"/>
        <v>0.13272059436420922</v>
      </c>
      <c r="D26" s="159">
        <f t="shared" si="2"/>
        <v>0.11446067671721578</v>
      </c>
      <c r="E26" s="159">
        <f t="shared" si="2"/>
        <v>0.29318670571303146</v>
      </c>
      <c r="F26" s="159">
        <f t="shared" si="2"/>
        <v>0.21716854581927905</v>
      </c>
      <c r="G26" s="159">
        <f t="shared" si="2"/>
        <v>6.4893280061347994E-2</v>
      </c>
      <c r="H26" s="159">
        <f t="shared" si="2"/>
        <v>0.11073200820195936</v>
      </c>
      <c r="I26" s="159">
        <f t="shared" si="2"/>
        <v>6.6838189122957151E-2</v>
      </c>
      <c r="K26" s="159">
        <f t="shared" si="3"/>
        <v>0.17757019732491652</v>
      </c>
    </row>
    <row r="27" spans="1:12" ht="18.75" x14ac:dyDescent="0.3">
      <c r="A27" s="157" t="s">
        <v>139</v>
      </c>
      <c r="B27" s="159">
        <f t="shared" si="2"/>
        <v>1</v>
      </c>
      <c r="C27" s="159">
        <f t="shared" si="2"/>
        <v>2.0944034573855193E-2</v>
      </c>
      <c r="D27" s="159">
        <f t="shared" si="2"/>
        <v>6.414465444513838E-2</v>
      </c>
      <c r="E27" s="159">
        <f t="shared" si="2"/>
        <v>0.2552360086434638</v>
      </c>
      <c r="F27" s="159">
        <f t="shared" si="2"/>
        <v>0.27006482597848486</v>
      </c>
      <c r="G27" s="159">
        <f t="shared" si="2"/>
        <v>0.11738812425480183</v>
      </c>
      <c r="H27" s="159">
        <f t="shared" si="2"/>
        <v>0.17411837003242969</v>
      </c>
      <c r="I27" s="159">
        <f t="shared" si="2"/>
        <v>9.8103982071826246E-2</v>
      </c>
      <c r="K27" s="159">
        <f t="shared" si="3"/>
        <v>0.27222235210425594</v>
      </c>
    </row>
    <row r="28" spans="1:12" ht="18.75" x14ac:dyDescent="0.3">
      <c r="A28" s="157" t="s">
        <v>138</v>
      </c>
      <c r="B28" s="159">
        <f t="shared" si="2"/>
        <v>1</v>
      </c>
      <c r="C28" s="159">
        <f t="shared" si="2"/>
        <v>3.8348389992865786E-2</v>
      </c>
      <c r="D28" s="159">
        <f t="shared" si="2"/>
        <v>7.5510416750166329E-2</v>
      </c>
      <c r="E28" s="159">
        <f t="shared" si="2"/>
        <v>0.29810582680699954</v>
      </c>
      <c r="F28" s="159">
        <f t="shared" si="2"/>
        <v>0.25205409175076754</v>
      </c>
      <c r="G28" s="159">
        <f t="shared" si="2"/>
        <v>9.6784795312262029E-2</v>
      </c>
      <c r="H28" s="159">
        <f t="shared" si="2"/>
        <v>0.14579442248959928</v>
      </c>
      <c r="I28" s="159">
        <f t="shared" si="2"/>
        <v>9.3402056897339505E-2</v>
      </c>
      <c r="K28" s="159">
        <f t="shared" si="3"/>
        <v>0.23919647938693878</v>
      </c>
    </row>
    <row r="29" spans="1:12" ht="18.75" x14ac:dyDescent="0.3">
      <c r="A29" s="157" t="s">
        <v>137</v>
      </c>
      <c r="B29" s="159">
        <f t="shared" si="2"/>
        <v>1</v>
      </c>
      <c r="C29" s="159">
        <f t="shared" si="2"/>
        <v>9.7271142420037718E-2</v>
      </c>
      <c r="D29" s="159">
        <f t="shared" si="2"/>
        <v>8.0044117123848152E-2</v>
      </c>
      <c r="E29" s="159">
        <f t="shared" si="2"/>
        <v>0.2568897427687053</v>
      </c>
      <c r="F29" s="159">
        <f t="shared" si="2"/>
        <v>0.23940655352759099</v>
      </c>
      <c r="G29" s="159">
        <f t="shared" si="2"/>
        <v>8.9828156686946312E-2</v>
      </c>
      <c r="H29" s="159">
        <f t="shared" si="2"/>
        <v>0.14340199950190344</v>
      </c>
      <c r="I29" s="159">
        <f t="shared" si="2"/>
        <v>9.315828797096809E-2</v>
      </c>
      <c r="K29" s="159">
        <f t="shared" si="3"/>
        <v>0.23656028747287153</v>
      </c>
    </row>
    <row r="31" spans="1:12" x14ac:dyDescent="0.25">
      <c r="A31" s="157" t="s">
        <v>472</v>
      </c>
      <c r="B31" s="157" t="s">
        <v>471</v>
      </c>
      <c r="C31" s="157" t="s">
        <v>462</v>
      </c>
      <c r="D31" s="157" t="s">
        <v>463</v>
      </c>
      <c r="E31" s="157" t="s">
        <v>464</v>
      </c>
      <c r="F31" s="157" t="s">
        <v>465</v>
      </c>
      <c r="G31" s="157" t="s">
        <v>466</v>
      </c>
      <c r="H31" s="157" t="s">
        <v>467</v>
      </c>
      <c r="I31" s="157" t="s">
        <v>468</v>
      </c>
      <c r="J31" s="157" t="s">
        <v>469</v>
      </c>
      <c r="K31" s="157" t="s">
        <v>470</v>
      </c>
    </row>
    <row r="32" spans="1:12" x14ac:dyDescent="0.25">
      <c r="A32" s="420">
        <v>1</v>
      </c>
      <c r="B32" s="439">
        <v>0.68050402904896334</v>
      </c>
      <c r="C32" s="157">
        <v>225</v>
      </c>
      <c r="D32" s="157">
        <v>330.63727824572646</v>
      </c>
      <c r="E32" s="157">
        <v>17</v>
      </c>
      <c r="F32" s="157">
        <v>242</v>
      </c>
      <c r="G32" s="439">
        <v>0.73191988902155158</v>
      </c>
      <c r="H32" s="439">
        <v>9.0996015936254976E-2</v>
      </c>
      <c r="I32" s="157">
        <v>1</v>
      </c>
      <c r="J32" s="439">
        <v>0.31771174434104987</v>
      </c>
      <c r="K32" s="439">
        <v>1.7842266099867832E-3</v>
      </c>
    </row>
    <row r="33" spans="1:11" x14ac:dyDescent="0.25">
      <c r="A33" s="420">
        <v>2</v>
      </c>
      <c r="B33" s="439">
        <v>0.75521404336547748</v>
      </c>
      <c r="C33" s="157">
        <v>1946</v>
      </c>
      <c r="D33" s="157">
        <v>2576.7529312987826</v>
      </c>
      <c r="E33" s="157">
        <v>166</v>
      </c>
      <c r="F33" s="157">
        <v>2112</v>
      </c>
      <c r="G33" s="439">
        <v>0.81963620739357057</v>
      </c>
      <c r="H33" s="439">
        <v>4.766508343491236E-2</v>
      </c>
      <c r="I33" s="157">
        <v>2</v>
      </c>
      <c r="J33" s="439">
        <v>0.1845139005781421</v>
      </c>
      <c r="K33" s="439">
        <v>6.0272056056380419E-2</v>
      </c>
    </row>
    <row r="34" spans="1:11" x14ac:dyDescent="0.25">
      <c r="A34" s="420">
        <v>3</v>
      </c>
      <c r="B34" s="439">
        <v>0.82053391332692649</v>
      </c>
      <c r="C34" s="157">
        <v>772</v>
      </c>
      <c r="D34" s="157">
        <v>940.85081367308578</v>
      </c>
      <c r="E34" s="157">
        <v>75</v>
      </c>
      <c r="F34" s="157">
        <v>847</v>
      </c>
      <c r="G34" s="439">
        <v>0.90024899558019</v>
      </c>
      <c r="H34" s="439">
        <v>4.2049489882193786E-2</v>
      </c>
      <c r="I34" s="157">
        <v>3</v>
      </c>
      <c r="J34" s="439">
        <v>0.1622942796634036</v>
      </c>
      <c r="K34" s="439">
        <v>1.7171807009669915E-2</v>
      </c>
    </row>
    <row r="35" spans="1:11" x14ac:dyDescent="0.25">
      <c r="A35" s="420">
        <v>4</v>
      </c>
      <c r="B35" s="439">
        <v>0.8127439167000402</v>
      </c>
      <c r="C35" s="157">
        <v>766</v>
      </c>
      <c r="D35" s="157">
        <v>942.48629151254295</v>
      </c>
      <c r="E35" s="157">
        <v>70</v>
      </c>
      <c r="F35" s="157">
        <v>836</v>
      </c>
      <c r="G35" s="439">
        <v>0.88701555399638854</v>
      </c>
      <c r="H35" s="439">
        <v>4.469385997646181E-2</v>
      </c>
      <c r="I35" s="157">
        <v>4</v>
      </c>
      <c r="J35" s="439">
        <v>0.17314428486402622</v>
      </c>
      <c r="K35" s="439">
        <v>1.4111798435933576E-2</v>
      </c>
    </row>
    <row r="36" spans="1:11" x14ac:dyDescent="0.25">
      <c r="A36" s="420">
        <v>5</v>
      </c>
      <c r="B36" s="439">
        <v>0.86092475572424731</v>
      </c>
      <c r="C36" s="157">
        <v>4335</v>
      </c>
      <c r="D36" s="157">
        <v>5035.2832476668764</v>
      </c>
      <c r="E36" s="157">
        <v>382</v>
      </c>
      <c r="F36" s="157">
        <v>4717</v>
      </c>
      <c r="G36" s="439">
        <v>0.93678940547895606</v>
      </c>
      <c r="H36" s="439">
        <v>3.1783483691880637E-2</v>
      </c>
      <c r="I36" s="157">
        <v>5</v>
      </c>
      <c r="J36" s="439">
        <v>0.12267215666745523</v>
      </c>
      <c r="K36" s="439">
        <v>1.6403087608297451E-2</v>
      </c>
    </row>
    <row r="37" spans="1:11" x14ac:dyDescent="0.25">
      <c r="A37" s="420">
        <v>6</v>
      </c>
      <c r="B37" s="439">
        <v>0.78165242273786795</v>
      </c>
      <c r="C37" s="157">
        <v>29</v>
      </c>
      <c r="D37" s="157">
        <v>37.100889290949375</v>
      </c>
      <c r="E37" s="157">
        <v>0</v>
      </c>
      <c r="F37" s="157">
        <v>29</v>
      </c>
      <c r="G37" s="439">
        <v>0.78165242273786795</v>
      </c>
      <c r="H37" s="439">
        <v>5.7775237699381719E-2</v>
      </c>
      <c r="I37" s="157">
        <v>6</v>
      </c>
      <c r="J37" s="439">
        <v>0.21834757726213205</v>
      </c>
      <c r="K37" s="439">
        <v>0</v>
      </c>
    </row>
    <row r="38" spans="1:11" x14ac:dyDescent="0.25">
      <c r="A38" s="420">
        <v>7</v>
      </c>
      <c r="B38" s="439">
        <v>0.85221193500827841</v>
      </c>
      <c r="C38" s="157">
        <v>1166</v>
      </c>
      <c r="D38" s="157">
        <v>1368.2042601159692</v>
      </c>
      <c r="E38" s="157">
        <v>85</v>
      </c>
      <c r="F38" s="157">
        <v>1251</v>
      </c>
      <c r="G38" s="439">
        <v>0.91433716183135194</v>
      </c>
      <c r="H38" s="439">
        <v>3.6211505745929247E-2</v>
      </c>
      <c r="I38" s="157">
        <v>7</v>
      </c>
      <c r="J38" s="439">
        <v>0.14545563410562301</v>
      </c>
      <c r="K38" s="439">
        <v>2.3324308860985798E-3</v>
      </c>
    </row>
    <row r="39" spans="1:11" x14ac:dyDescent="0.25">
      <c r="A39" s="420">
        <v>8</v>
      </c>
      <c r="B39" s="439">
        <v>0.77802393775890122</v>
      </c>
      <c r="C39" s="157">
        <v>420</v>
      </c>
      <c r="D39" s="157">
        <v>539.82914871464038</v>
      </c>
      <c r="E39" s="157">
        <v>19</v>
      </c>
      <c r="F39" s="157">
        <v>439</v>
      </c>
      <c r="G39" s="439">
        <v>0.81322025875275628</v>
      </c>
      <c r="H39" s="439">
        <v>5.5283890247215431E-2</v>
      </c>
      <c r="I39" s="157">
        <v>8</v>
      </c>
      <c r="J39" s="439">
        <v>0.20761745231663509</v>
      </c>
      <c r="K39" s="439">
        <v>1.4358609924463694E-2</v>
      </c>
    </row>
    <row r="40" spans="1:11" x14ac:dyDescent="0.25">
      <c r="A40" s="420">
        <v>9</v>
      </c>
      <c r="B40" s="439">
        <v>0.76515720807141996</v>
      </c>
      <c r="C40" s="157">
        <v>56</v>
      </c>
      <c r="D40" s="157">
        <v>73.187574277903096</v>
      </c>
      <c r="E40" s="157">
        <v>2</v>
      </c>
      <c r="F40" s="157">
        <v>58</v>
      </c>
      <c r="G40" s="439">
        <v>0.79248425121682775</v>
      </c>
      <c r="H40" s="439">
        <v>6.412538033182158E-2</v>
      </c>
      <c r="I40" s="157">
        <v>9</v>
      </c>
      <c r="J40" s="439">
        <v>0.23484279192858004</v>
      </c>
      <c r="K40" s="439">
        <v>0</v>
      </c>
    </row>
    <row r="41" spans="1:11" x14ac:dyDescent="0.25">
      <c r="A41" s="420">
        <v>10</v>
      </c>
      <c r="B41" s="439">
        <v>0.81939155230574734</v>
      </c>
      <c r="C41" s="157">
        <v>668</v>
      </c>
      <c r="D41" s="157">
        <v>815.239061374583</v>
      </c>
      <c r="E41" s="157">
        <v>80</v>
      </c>
      <c r="F41" s="157">
        <v>748</v>
      </c>
      <c r="G41" s="439">
        <v>0.917522277132783</v>
      </c>
      <c r="H41" s="439">
        <v>4.1991476977445173E-2</v>
      </c>
      <c r="I41" s="157">
        <v>10</v>
      </c>
      <c r="J41" s="439">
        <v>0.16065370669441714</v>
      </c>
      <c r="K41" s="439">
        <v>1.9954740999835519E-2</v>
      </c>
    </row>
    <row r="42" spans="1:11" x14ac:dyDescent="0.25">
      <c r="A42" s="420">
        <v>11</v>
      </c>
      <c r="B42" s="439">
        <v>0.83131486083437522</v>
      </c>
      <c r="C42" s="157">
        <v>33</v>
      </c>
      <c r="D42" s="157">
        <v>39.696150706217999</v>
      </c>
      <c r="E42" s="157">
        <v>0</v>
      </c>
      <c r="F42" s="157">
        <v>33</v>
      </c>
      <c r="G42" s="439">
        <v>0.83131486083437522</v>
      </c>
      <c r="H42" s="439">
        <v>4.4392037178331137E-2</v>
      </c>
      <c r="I42" s="157">
        <v>11</v>
      </c>
      <c r="J42" s="439">
        <v>0.16868513916562478</v>
      </c>
      <c r="K42" s="439">
        <v>0</v>
      </c>
    </row>
    <row r="43" spans="1:11" x14ac:dyDescent="0.25">
      <c r="A43" s="420">
        <v>12</v>
      </c>
      <c r="B43" s="439">
        <v>0.84845212921246294</v>
      </c>
      <c r="C43" s="157">
        <v>1001</v>
      </c>
      <c r="D43" s="157">
        <v>1179.7954952734135</v>
      </c>
      <c r="E43" s="157">
        <v>68</v>
      </c>
      <c r="F43" s="157">
        <v>1069</v>
      </c>
      <c r="G43" s="439">
        <v>0.90608923689123166</v>
      </c>
      <c r="H43" s="439">
        <v>3.8047756494358438E-2</v>
      </c>
      <c r="I43" s="157">
        <v>12</v>
      </c>
      <c r="J43" s="439">
        <v>0.14549710282960349</v>
      </c>
      <c r="K43" s="439">
        <v>6.0507679579335782E-3</v>
      </c>
    </row>
    <row r="44" spans="1:11" x14ac:dyDescent="0.25">
      <c r="A44" s="157" t="s">
        <v>161</v>
      </c>
      <c r="B44" s="439">
        <v>0.88786533519228727</v>
      </c>
      <c r="C44" s="157">
        <v>647</v>
      </c>
      <c r="D44" s="157">
        <v>728.71411277688583</v>
      </c>
      <c r="E44" s="157">
        <v>67</v>
      </c>
      <c r="F44" s="157">
        <v>714</v>
      </c>
      <c r="G44" s="439">
        <v>0.97980811333430162</v>
      </c>
      <c r="H44" s="439">
        <v>3.005676557780251E-2</v>
      </c>
      <c r="I44" s="157" t="s">
        <v>161</v>
      </c>
      <c r="J44" s="439">
        <v>0.11159421083037291</v>
      </c>
      <c r="K44" s="439">
        <v>5.4045397733981648E-4</v>
      </c>
    </row>
  </sheetData>
  <pageMargins left="0.7" right="0.7" top="0.75" bottom="0.75" header="0.3" footer="0.3"/>
  <ignoredErrors>
    <ignoredError sqref="J5:J16" formulaRange="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2:V82"/>
  <sheetViews>
    <sheetView topLeftCell="A9" workbookViewId="0">
      <selection activeCell="A16" sqref="A16:I34"/>
    </sheetView>
  </sheetViews>
  <sheetFormatPr defaultRowHeight="18.75" x14ac:dyDescent="0.3"/>
  <cols>
    <col min="2" max="2" width="22" customWidth="1"/>
    <col min="9" max="9" width="19.3984375" customWidth="1"/>
  </cols>
  <sheetData>
    <row r="2" spans="1:8" ht="26.25" x14ac:dyDescent="0.4">
      <c r="A2" s="162" t="s">
        <v>107</v>
      </c>
      <c r="B2" s="162">
        <v>1</v>
      </c>
      <c r="C2" s="157" t="s">
        <v>148</v>
      </c>
      <c r="E2">
        <v>1</v>
      </c>
      <c r="F2" s="162" t="s">
        <v>107</v>
      </c>
      <c r="G2">
        <v>1</v>
      </c>
      <c r="H2" s="157" t="s">
        <v>148</v>
      </c>
    </row>
    <row r="3" spans="1:8" ht="26.25" x14ac:dyDescent="0.4">
      <c r="A3" s="162" t="s">
        <v>162</v>
      </c>
      <c r="B3" s="162">
        <v>2</v>
      </c>
      <c r="C3" s="157" t="s">
        <v>147</v>
      </c>
      <c r="E3">
        <v>2</v>
      </c>
      <c r="F3" s="162" t="s">
        <v>162</v>
      </c>
      <c r="G3">
        <v>2</v>
      </c>
      <c r="H3" s="157" t="s">
        <v>147</v>
      </c>
    </row>
    <row r="4" spans="1:8" ht="26.25" x14ac:dyDescent="0.4">
      <c r="A4" s="162" t="s">
        <v>126</v>
      </c>
      <c r="B4" s="162">
        <v>3</v>
      </c>
      <c r="C4" s="157" t="s">
        <v>146</v>
      </c>
      <c r="E4">
        <v>3</v>
      </c>
      <c r="F4" s="162" t="s">
        <v>126</v>
      </c>
      <c r="G4">
        <v>3</v>
      </c>
      <c r="H4" s="157" t="s">
        <v>146</v>
      </c>
    </row>
    <row r="5" spans="1:8" ht="26.25" x14ac:dyDescent="0.4">
      <c r="A5" s="162" t="s">
        <v>129</v>
      </c>
      <c r="B5" s="162">
        <v>4</v>
      </c>
      <c r="C5" s="157" t="s">
        <v>145</v>
      </c>
      <c r="E5">
        <v>4</v>
      </c>
      <c r="F5" s="162" t="s">
        <v>129</v>
      </c>
      <c r="G5">
        <v>4</v>
      </c>
      <c r="H5" s="157" t="s">
        <v>145</v>
      </c>
    </row>
    <row r="6" spans="1:8" ht="26.25" x14ac:dyDescent="0.4">
      <c r="A6" s="162" t="s">
        <v>163</v>
      </c>
      <c r="B6" s="162">
        <v>5</v>
      </c>
      <c r="C6" s="157" t="s">
        <v>144</v>
      </c>
      <c r="E6">
        <v>5</v>
      </c>
      <c r="F6" s="162" t="s">
        <v>163</v>
      </c>
      <c r="G6">
        <v>5</v>
      </c>
      <c r="H6" s="157" t="s">
        <v>144</v>
      </c>
    </row>
    <row r="7" spans="1:8" ht="26.25" x14ac:dyDescent="0.4">
      <c r="A7" s="162" t="s">
        <v>164</v>
      </c>
      <c r="B7" s="162">
        <v>6</v>
      </c>
      <c r="C7" s="157" t="s">
        <v>143</v>
      </c>
      <c r="E7">
        <v>6</v>
      </c>
      <c r="F7" s="162" t="s">
        <v>164</v>
      </c>
      <c r="G7">
        <v>6</v>
      </c>
      <c r="H7" s="157" t="s">
        <v>143</v>
      </c>
    </row>
    <row r="8" spans="1:8" ht="26.25" x14ac:dyDescent="0.4">
      <c r="A8" s="162" t="s">
        <v>165</v>
      </c>
      <c r="B8" s="162">
        <v>7</v>
      </c>
      <c r="C8" s="157" t="s">
        <v>142</v>
      </c>
      <c r="E8">
        <v>7</v>
      </c>
      <c r="F8" s="162" t="s">
        <v>165</v>
      </c>
      <c r="G8">
        <v>7</v>
      </c>
      <c r="H8" s="157" t="s">
        <v>142</v>
      </c>
    </row>
    <row r="9" spans="1:8" ht="26.25" x14ac:dyDescent="0.4">
      <c r="A9" s="162" t="s">
        <v>125</v>
      </c>
      <c r="B9" s="162">
        <v>8</v>
      </c>
      <c r="C9" s="157" t="s">
        <v>141</v>
      </c>
      <c r="E9">
        <v>8</v>
      </c>
      <c r="F9" s="162" t="s">
        <v>125</v>
      </c>
      <c r="G9">
        <v>8</v>
      </c>
      <c r="H9" s="157" t="s">
        <v>141</v>
      </c>
    </row>
    <row r="10" spans="1:8" ht="26.25" x14ac:dyDescent="0.4">
      <c r="A10" s="162" t="s">
        <v>130</v>
      </c>
      <c r="B10" s="162">
        <v>9</v>
      </c>
      <c r="C10" s="157" t="s">
        <v>140</v>
      </c>
      <c r="E10">
        <v>9</v>
      </c>
      <c r="F10" s="162" t="s">
        <v>130</v>
      </c>
      <c r="G10">
        <v>9</v>
      </c>
      <c r="H10" s="157" t="s">
        <v>140</v>
      </c>
    </row>
    <row r="11" spans="1:8" ht="26.25" x14ac:dyDescent="0.4">
      <c r="A11" s="162" t="s">
        <v>166</v>
      </c>
      <c r="B11" s="162">
        <v>10</v>
      </c>
      <c r="C11" s="157" t="s">
        <v>139</v>
      </c>
      <c r="E11">
        <v>10</v>
      </c>
      <c r="F11" s="162" t="s">
        <v>166</v>
      </c>
      <c r="G11">
        <v>10</v>
      </c>
      <c r="H11" s="157" t="s">
        <v>139</v>
      </c>
    </row>
    <row r="12" spans="1:8" ht="26.25" x14ac:dyDescent="0.4">
      <c r="A12" s="162" t="s">
        <v>167</v>
      </c>
      <c r="B12" s="162">
        <v>11</v>
      </c>
      <c r="C12" s="157" t="s">
        <v>138</v>
      </c>
      <c r="E12">
        <v>11</v>
      </c>
      <c r="F12" s="162" t="s">
        <v>167</v>
      </c>
      <c r="G12">
        <v>11</v>
      </c>
      <c r="H12" s="157" t="s">
        <v>138</v>
      </c>
    </row>
    <row r="13" spans="1:8" ht="26.25" x14ac:dyDescent="0.4">
      <c r="A13" s="162" t="s">
        <v>132</v>
      </c>
      <c r="B13" s="162">
        <v>12</v>
      </c>
      <c r="C13" s="157" t="s">
        <v>137</v>
      </c>
      <c r="E13">
        <v>12</v>
      </c>
      <c r="F13" s="162" t="s">
        <v>132</v>
      </c>
      <c r="G13">
        <v>12</v>
      </c>
      <c r="H13" s="157" t="s">
        <v>137</v>
      </c>
    </row>
    <row r="16" spans="1:8" x14ac:dyDescent="0.3">
      <c r="A16" s="461" t="s">
        <v>481</v>
      </c>
      <c r="B16" s="461" t="s">
        <v>482</v>
      </c>
      <c r="C16" s="461" t="s">
        <v>483</v>
      </c>
      <c r="D16" s="461" t="s">
        <v>484</v>
      </c>
    </row>
    <row r="17" spans="1:22" ht="23.25" x14ac:dyDescent="0.35">
      <c r="A17" s="461" t="s">
        <v>482</v>
      </c>
      <c r="B17" s="461" t="s">
        <v>483</v>
      </c>
      <c r="C17" s="461" t="s">
        <v>484</v>
      </c>
      <c r="D17" s="461" t="s">
        <v>485</v>
      </c>
      <c r="I17" s="141" t="s">
        <v>233</v>
      </c>
    </row>
    <row r="18" spans="1:22" ht="23.25" x14ac:dyDescent="0.35">
      <c r="A18" s="461" t="s">
        <v>483</v>
      </c>
      <c r="B18" s="461" t="s">
        <v>484</v>
      </c>
      <c r="C18" s="461" t="s">
        <v>485</v>
      </c>
      <c r="D18" s="461" t="s">
        <v>486</v>
      </c>
      <c r="I18" s="141" t="s">
        <v>232</v>
      </c>
    </row>
    <row r="19" spans="1:22" ht="23.25" x14ac:dyDescent="0.35">
      <c r="A19" s="461" t="s">
        <v>484</v>
      </c>
      <c r="B19" s="461" t="s">
        <v>485</v>
      </c>
      <c r="C19" s="461" t="s">
        <v>486</v>
      </c>
      <c r="D19" s="461" t="s">
        <v>487</v>
      </c>
      <c r="E19" s="158"/>
      <c r="F19" s="158"/>
      <c r="G19" s="158"/>
      <c r="H19" s="158"/>
      <c r="I19" s="141" t="s">
        <v>234</v>
      </c>
    </row>
    <row r="20" spans="1:22" ht="23.25" x14ac:dyDescent="0.35">
      <c r="A20" s="461" t="s">
        <v>485</v>
      </c>
      <c r="B20" s="461" t="s">
        <v>486</v>
      </c>
      <c r="C20" s="461" t="s">
        <v>487</v>
      </c>
      <c r="D20" s="461" t="s">
        <v>488</v>
      </c>
      <c r="E20" s="158"/>
      <c r="F20" s="158"/>
      <c r="G20" s="158"/>
      <c r="H20" s="158"/>
      <c r="I20" s="141" t="s">
        <v>235</v>
      </c>
    </row>
    <row r="21" spans="1:22" ht="23.25" x14ac:dyDescent="0.35">
      <c r="A21" s="461" t="s">
        <v>486</v>
      </c>
      <c r="B21" s="461" t="s">
        <v>487</v>
      </c>
      <c r="C21" s="461" t="s">
        <v>488</v>
      </c>
      <c r="D21" s="461" t="s">
        <v>489</v>
      </c>
      <c r="I21" s="141" t="s">
        <v>228</v>
      </c>
    </row>
    <row r="22" spans="1:22" ht="39" customHeight="1" x14ac:dyDescent="0.35">
      <c r="A22" s="461" t="s">
        <v>487</v>
      </c>
      <c r="B22" s="461" t="s">
        <v>488</v>
      </c>
      <c r="C22" s="461" t="s">
        <v>489</v>
      </c>
      <c r="D22" s="158" t="s">
        <v>490</v>
      </c>
      <c r="E22" s="461" t="s">
        <v>481</v>
      </c>
      <c r="F22" s="461" t="s">
        <v>482</v>
      </c>
      <c r="G22" s="461" t="s">
        <v>483</v>
      </c>
      <c r="H22" s="461" t="s">
        <v>484</v>
      </c>
      <c r="I22" s="141" t="s">
        <v>229</v>
      </c>
    </row>
    <row r="23" spans="1:22" ht="23.25" x14ac:dyDescent="0.35">
      <c r="A23" s="461" t="s">
        <v>488</v>
      </c>
      <c r="B23" s="461" t="s">
        <v>489</v>
      </c>
      <c r="C23" s="158" t="s">
        <v>490</v>
      </c>
      <c r="D23" s="187" t="s">
        <v>491</v>
      </c>
      <c r="E23" s="461" t="s">
        <v>482</v>
      </c>
      <c r="F23" s="461" t="s">
        <v>483</v>
      </c>
      <c r="G23" s="461" t="s">
        <v>484</v>
      </c>
      <c r="H23" s="461" t="s">
        <v>485</v>
      </c>
      <c r="I23" s="141" t="s">
        <v>109</v>
      </c>
      <c r="J23" s="461" t="s">
        <v>479</v>
      </c>
      <c r="K23" s="461" t="s">
        <v>480</v>
      </c>
      <c r="L23" s="461" t="s">
        <v>481</v>
      </c>
      <c r="M23" s="461" t="s">
        <v>482</v>
      </c>
      <c r="N23" s="461" t="s">
        <v>483</v>
      </c>
      <c r="O23" s="461" t="s">
        <v>484</v>
      </c>
      <c r="P23" s="461" t="s">
        <v>485</v>
      </c>
      <c r="Q23" s="461" t="s">
        <v>486</v>
      </c>
      <c r="R23" s="461" t="s">
        <v>487</v>
      </c>
      <c r="S23" s="461" t="s">
        <v>488</v>
      </c>
      <c r="T23" s="461" t="s">
        <v>489</v>
      </c>
    </row>
    <row r="24" spans="1:22" ht="23.25" x14ac:dyDescent="0.35">
      <c r="A24" s="461" t="s">
        <v>489</v>
      </c>
      <c r="B24" s="158" t="s">
        <v>490</v>
      </c>
      <c r="C24" s="187" t="s">
        <v>491</v>
      </c>
      <c r="D24" s="187" t="s">
        <v>492</v>
      </c>
      <c r="E24" s="461" t="s">
        <v>483</v>
      </c>
      <c r="F24" s="461" t="s">
        <v>484</v>
      </c>
      <c r="G24" s="461" t="s">
        <v>485</v>
      </c>
      <c r="H24" s="461" t="s">
        <v>486</v>
      </c>
      <c r="I24" s="141" t="s">
        <v>230</v>
      </c>
    </row>
    <row r="25" spans="1:22" ht="23.25" x14ac:dyDescent="0.35">
      <c r="A25" s="158" t="s">
        <v>490</v>
      </c>
      <c r="B25" s="187" t="s">
        <v>491</v>
      </c>
      <c r="C25" s="187" t="s">
        <v>492</v>
      </c>
      <c r="D25" s="187" t="s">
        <v>493</v>
      </c>
      <c r="E25" s="461" t="s">
        <v>484</v>
      </c>
      <c r="F25" s="461" t="s">
        <v>485</v>
      </c>
      <c r="G25" s="461" t="s">
        <v>486</v>
      </c>
      <c r="H25" s="461" t="s">
        <v>487</v>
      </c>
      <c r="I25" s="141" t="s">
        <v>231</v>
      </c>
      <c r="L25" s="461" t="s">
        <v>479</v>
      </c>
      <c r="M25" s="461" t="s">
        <v>480</v>
      </c>
      <c r="N25" s="461" t="s">
        <v>481</v>
      </c>
      <c r="O25" s="461" t="s">
        <v>482</v>
      </c>
      <c r="P25" s="461" t="s">
        <v>483</v>
      </c>
      <c r="Q25" s="461" t="s">
        <v>484</v>
      </c>
      <c r="R25" s="461" t="s">
        <v>485</v>
      </c>
      <c r="S25" s="461" t="s">
        <v>486</v>
      </c>
      <c r="T25" s="461" t="s">
        <v>487</v>
      </c>
      <c r="U25" s="461" t="s">
        <v>488</v>
      </c>
      <c r="V25" s="461" t="s">
        <v>489</v>
      </c>
    </row>
    <row r="26" spans="1:22" ht="23.25" x14ac:dyDescent="0.35">
      <c r="A26" s="187" t="s">
        <v>491</v>
      </c>
      <c r="B26" s="187" t="s">
        <v>492</v>
      </c>
      <c r="C26" s="187" t="s">
        <v>493</v>
      </c>
      <c r="D26" s="187" t="s">
        <v>494</v>
      </c>
      <c r="E26" s="461" t="s">
        <v>485</v>
      </c>
      <c r="F26" s="461" t="s">
        <v>486</v>
      </c>
      <c r="G26" s="461" t="s">
        <v>487</v>
      </c>
      <c r="H26" s="461" t="s">
        <v>488</v>
      </c>
      <c r="I26" s="141" t="s">
        <v>229</v>
      </c>
    </row>
    <row r="27" spans="1:22" ht="23.25" x14ac:dyDescent="0.35">
      <c r="A27" s="187" t="s">
        <v>492</v>
      </c>
      <c r="B27" s="187" t="s">
        <v>493</v>
      </c>
      <c r="C27" s="187" t="s">
        <v>494</v>
      </c>
      <c r="D27" s="187" t="s">
        <v>495</v>
      </c>
      <c r="E27" s="461" t="s">
        <v>486</v>
      </c>
      <c r="F27" s="461" t="s">
        <v>487</v>
      </c>
      <c r="G27" s="461" t="s">
        <v>488</v>
      </c>
      <c r="H27" s="461" t="s">
        <v>489</v>
      </c>
      <c r="I27" s="141" t="s">
        <v>109</v>
      </c>
    </row>
    <row r="28" spans="1:22" ht="23.25" x14ac:dyDescent="0.35">
      <c r="A28" s="187" t="s">
        <v>493</v>
      </c>
      <c r="B28" s="187" t="s">
        <v>494</v>
      </c>
      <c r="C28" s="187" t="s">
        <v>495</v>
      </c>
      <c r="D28" s="187" t="s">
        <v>496</v>
      </c>
      <c r="E28" s="461" t="s">
        <v>487</v>
      </c>
      <c r="F28" s="461" t="s">
        <v>488</v>
      </c>
      <c r="G28" s="461" t="s">
        <v>489</v>
      </c>
      <c r="H28" s="158" t="s">
        <v>490</v>
      </c>
      <c r="I28" s="141" t="s">
        <v>230</v>
      </c>
    </row>
    <row r="29" spans="1:22" ht="23.25" x14ac:dyDescent="0.35">
      <c r="A29" s="187" t="s">
        <v>494</v>
      </c>
      <c r="B29" s="187" t="s">
        <v>495</v>
      </c>
      <c r="C29" s="187" t="s">
        <v>496</v>
      </c>
      <c r="D29" s="187" t="s">
        <v>497</v>
      </c>
      <c r="E29" s="461" t="s">
        <v>488</v>
      </c>
      <c r="F29" s="461" t="s">
        <v>489</v>
      </c>
      <c r="G29" s="158" t="s">
        <v>490</v>
      </c>
      <c r="H29" s="187" t="s">
        <v>491</v>
      </c>
      <c r="I29" s="141" t="s">
        <v>231</v>
      </c>
    </row>
    <row r="30" spans="1:22" x14ac:dyDescent="0.3">
      <c r="A30" s="187" t="s">
        <v>495</v>
      </c>
      <c r="B30" s="187" t="s">
        <v>496</v>
      </c>
      <c r="C30" s="187" t="s">
        <v>497</v>
      </c>
      <c r="D30" s="187" t="s">
        <v>498</v>
      </c>
      <c r="E30" s="461" t="s">
        <v>489</v>
      </c>
      <c r="F30" s="158" t="s">
        <v>490</v>
      </c>
      <c r="G30" s="187" t="s">
        <v>491</v>
      </c>
      <c r="H30" s="187" t="s">
        <v>492</v>
      </c>
    </row>
    <row r="31" spans="1:22" x14ac:dyDescent="0.3">
      <c r="A31" s="187" t="s">
        <v>496</v>
      </c>
      <c r="B31" s="187" t="s">
        <v>497</v>
      </c>
      <c r="C31" s="187" t="s">
        <v>498</v>
      </c>
      <c r="D31" s="187" t="s">
        <v>499</v>
      </c>
      <c r="E31" s="158" t="s">
        <v>490</v>
      </c>
      <c r="F31" s="187" t="s">
        <v>491</v>
      </c>
      <c r="G31" s="187" t="s">
        <v>492</v>
      </c>
      <c r="H31" s="187" t="s">
        <v>493</v>
      </c>
    </row>
    <row r="32" spans="1:22" x14ac:dyDescent="0.3">
      <c r="A32" s="158"/>
      <c r="B32" s="158"/>
      <c r="C32" s="158"/>
      <c r="D32" s="158"/>
      <c r="E32" s="187" t="s">
        <v>491</v>
      </c>
      <c r="F32" s="187" t="s">
        <v>492</v>
      </c>
      <c r="G32" s="187" t="s">
        <v>493</v>
      </c>
      <c r="H32" s="187" t="s">
        <v>494</v>
      </c>
    </row>
    <row r="33" spans="1:8" x14ac:dyDescent="0.3">
      <c r="A33" s="158"/>
      <c r="B33" s="158"/>
      <c r="C33" s="158"/>
      <c r="D33" s="187"/>
      <c r="E33" s="187" t="s">
        <v>492</v>
      </c>
      <c r="F33" s="187" t="s">
        <v>493</v>
      </c>
      <c r="G33" s="187" t="s">
        <v>494</v>
      </c>
      <c r="H33" s="187" t="s">
        <v>495</v>
      </c>
    </row>
    <row r="34" spans="1:8" x14ac:dyDescent="0.3">
      <c r="A34" s="158"/>
      <c r="B34" s="158"/>
      <c r="C34" s="187"/>
      <c r="D34" s="187"/>
      <c r="E34" s="187" t="s">
        <v>493</v>
      </c>
      <c r="F34" s="187" t="s">
        <v>494</v>
      </c>
      <c r="G34" s="187" t="s">
        <v>495</v>
      </c>
      <c r="H34" s="187" t="s">
        <v>496</v>
      </c>
    </row>
    <row r="35" spans="1:8" x14ac:dyDescent="0.3">
      <c r="A35" s="158"/>
      <c r="B35" s="187"/>
      <c r="C35" s="187"/>
      <c r="D35" s="187"/>
      <c r="E35" s="187"/>
    </row>
    <row r="36" spans="1:8" x14ac:dyDescent="0.3">
      <c r="A36" s="187"/>
      <c r="B36" s="187"/>
      <c r="C36" s="187"/>
      <c r="D36" s="187"/>
      <c r="E36" s="158"/>
      <c r="F36" s="158"/>
      <c r="G36" s="158"/>
      <c r="H36" s="187"/>
    </row>
    <row r="37" spans="1:8" x14ac:dyDescent="0.3">
      <c r="A37" s="187"/>
      <c r="B37" s="187"/>
      <c r="C37" s="187"/>
      <c r="D37" s="187"/>
      <c r="E37" s="158"/>
      <c r="F37" s="158"/>
      <c r="G37" s="187"/>
      <c r="H37" s="187"/>
    </row>
    <row r="38" spans="1:8" x14ac:dyDescent="0.3">
      <c r="A38" s="187"/>
      <c r="B38" s="187"/>
      <c r="C38" s="187"/>
      <c r="D38" s="187"/>
      <c r="E38" s="158"/>
      <c r="F38" s="187"/>
      <c r="G38" s="187"/>
      <c r="H38" s="187"/>
    </row>
    <row r="39" spans="1:8" x14ac:dyDescent="0.3">
      <c r="A39" s="187"/>
      <c r="B39" s="187"/>
      <c r="C39" s="187"/>
      <c r="D39" s="187"/>
      <c r="E39" s="187"/>
      <c r="F39" s="187"/>
      <c r="G39" s="187"/>
      <c r="H39" s="187"/>
    </row>
    <row r="40" spans="1:8" x14ac:dyDescent="0.3">
      <c r="A40" s="187"/>
      <c r="B40" s="187"/>
      <c r="C40" s="187"/>
      <c r="D40" s="187"/>
      <c r="E40" s="187"/>
      <c r="F40" s="187"/>
      <c r="G40" s="187"/>
      <c r="H40" s="187"/>
    </row>
    <row r="41" spans="1:8" x14ac:dyDescent="0.3">
      <c r="A41" s="187"/>
      <c r="B41" s="187"/>
      <c r="C41" s="187"/>
      <c r="D41" s="187"/>
      <c r="E41" s="187"/>
      <c r="F41" s="187"/>
      <c r="G41" s="187"/>
      <c r="H41" s="187"/>
    </row>
    <row r="42" spans="1:8" x14ac:dyDescent="0.3">
      <c r="E42" s="187"/>
      <c r="F42" s="187"/>
      <c r="G42" s="187"/>
      <c r="H42" s="187"/>
    </row>
    <row r="43" spans="1:8" x14ac:dyDescent="0.3">
      <c r="A43" t="s">
        <v>328</v>
      </c>
      <c r="B43" t="s">
        <v>314</v>
      </c>
      <c r="C43" t="s">
        <v>327</v>
      </c>
      <c r="E43" s="187"/>
      <c r="F43" s="187"/>
      <c r="G43" s="187"/>
      <c r="H43" s="187"/>
    </row>
    <row r="44" spans="1:8" x14ac:dyDescent="0.3">
      <c r="A44">
        <v>8</v>
      </c>
      <c r="B44" t="s">
        <v>313</v>
      </c>
      <c r="C44" t="s">
        <v>125</v>
      </c>
      <c r="D44">
        <v>8</v>
      </c>
      <c r="E44" s="187"/>
      <c r="F44" s="187"/>
      <c r="G44" s="187"/>
      <c r="H44" s="187"/>
    </row>
    <row r="45" spans="1:8" x14ac:dyDescent="0.3">
      <c r="A45">
        <v>10</v>
      </c>
      <c r="B45" t="s">
        <v>312</v>
      </c>
      <c r="C45" t="s">
        <v>166</v>
      </c>
      <c r="D45">
        <v>10</v>
      </c>
    </row>
    <row r="46" spans="1:8" x14ac:dyDescent="0.3">
      <c r="A46">
        <v>11</v>
      </c>
      <c r="B46" t="s">
        <v>311</v>
      </c>
      <c r="C46" t="s">
        <v>167</v>
      </c>
      <c r="D46">
        <v>11</v>
      </c>
    </row>
    <row r="47" spans="1:8" x14ac:dyDescent="0.3">
      <c r="A47">
        <v>8</v>
      </c>
      <c r="B47" t="s">
        <v>310</v>
      </c>
      <c r="C47" t="s">
        <v>125</v>
      </c>
      <c r="D47">
        <v>8</v>
      </c>
    </row>
    <row r="48" spans="1:8" x14ac:dyDescent="0.3">
      <c r="A48">
        <v>1</v>
      </c>
      <c r="B48" t="s">
        <v>309</v>
      </c>
      <c r="C48" t="s">
        <v>107</v>
      </c>
      <c r="D48">
        <v>1</v>
      </c>
    </row>
    <row r="49" spans="1:4" x14ac:dyDescent="0.3">
      <c r="A49">
        <v>7</v>
      </c>
      <c r="B49" t="s">
        <v>308</v>
      </c>
      <c r="C49" t="s">
        <v>165</v>
      </c>
      <c r="D49">
        <v>7</v>
      </c>
    </row>
    <row r="50" spans="1:4" x14ac:dyDescent="0.3">
      <c r="A50">
        <v>10</v>
      </c>
      <c r="B50" t="s">
        <v>307</v>
      </c>
      <c r="C50" t="s">
        <v>166</v>
      </c>
      <c r="D50">
        <v>10</v>
      </c>
    </row>
    <row r="51" spans="1:4" x14ac:dyDescent="0.3">
      <c r="A51">
        <v>7</v>
      </c>
      <c r="B51" t="s">
        <v>306</v>
      </c>
      <c r="C51" t="s">
        <v>165</v>
      </c>
      <c r="D51">
        <v>7</v>
      </c>
    </row>
    <row r="52" spans="1:4" x14ac:dyDescent="0.3">
      <c r="A52">
        <v>8</v>
      </c>
      <c r="B52" t="s">
        <v>305</v>
      </c>
      <c r="C52" t="s">
        <v>125</v>
      </c>
      <c r="D52">
        <v>8</v>
      </c>
    </row>
    <row r="53" spans="1:4" x14ac:dyDescent="0.3">
      <c r="A53">
        <v>10</v>
      </c>
      <c r="B53" t="s">
        <v>304</v>
      </c>
      <c r="C53" t="s">
        <v>166</v>
      </c>
      <c r="D53">
        <v>10</v>
      </c>
    </row>
    <row r="54" spans="1:4" x14ac:dyDescent="0.3">
      <c r="A54">
        <v>11</v>
      </c>
      <c r="B54" t="s">
        <v>303</v>
      </c>
      <c r="C54" t="s">
        <v>167</v>
      </c>
      <c r="D54">
        <v>11</v>
      </c>
    </row>
    <row r="55" spans="1:4" x14ac:dyDescent="0.3">
      <c r="A55">
        <v>10</v>
      </c>
      <c r="B55" t="s">
        <v>302</v>
      </c>
      <c r="C55" t="s">
        <v>166</v>
      </c>
      <c r="D55">
        <v>10</v>
      </c>
    </row>
    <row r="56" spans="1:4" x14ac:dyDescent="0.3">
      <c r="A56">
        <v>8</v>
      </c>
      <c r="B56" t="s">
        <v>301</v>
      </c>
      <c r="C56" t="s">
        <v>125</v>
      </c>
      <c r="D56">
        <v>8</v>
      </c>
    </row>
    <row r="57" spans="1:4" x14ac:dyDescent="0.3">
      <c r="A57">
        <v>2</v>
      </c>
      <c r="B57" t="s">
        <v>300</v>
      </c>
      <c r="C57" t="s">
        <v>162</v>
      </c>
      <c r="D57">
        <v>2</v>
      </c>
    </row>
    <row r="58" spans="1:4" x14ac:dyDescent="0.3">
      <c r="A58">
        <v>3</v>
      </c>
      <c r="B58" t="s">
        <v>299</v>
      </c>
      <c r="C58" t="s">
        <v>126</v>
      </c>
      <c r="D58">
        <v>3</v>
      </c>
    </row>
    <row r="59" spans="1:4" x14ac:dyDescent="0.3">
      <c r="A59">
        <v>1</v>
      </c>
      <c r="B59" t="s">
        <v>298</v>
      </c>
      <c r="C59" t="s">
        <v>107</v>
      </c>
      <c r="D59">
        <v>1</v>
      </c>
    </row>
    <row r="60" spans="1:4" x14ac:dyDescent="0.3">
      <c r="A60">
        <v>5</v>
      </c>
      <c r="B60" t="s">
        <v>297</v>
      </c>
      <c r="C60" t="s">
        <v>163</v>
      </c>
      <c r="D60">
        <v>5</v>
      </c>
    </row>
    <row r="61" spans="1:4" x14ac:dyDescent="0.3">
      <c r="A61">
        <v>1</v>
      </c>
      <c r="B61" t="s">
        <v>296</v>
      </c>
      <c r="C61" t="s">
        <v>107</v>
      </c>
      <c r="D61">
        <v>1</v>
      </c>
    </row>
    <row r="62" spans="1:4" x14ac:dyDescent="0.3">
      <c r="A62">
        <v>9</v>
      </c>
      <c r="B62" t="s">
        <v>295</v>
      </c>
      <c r="C62" t="s">
        <v>130</v>
      </c>
      <c r="D62">
        <v>9</v>
      </c>
    </row>
    <row r="63" spans="1:4" x14ac:dyDescent="0.3">
      <c r="A63">
        <v>9</v>
      </c>
      <c r="B63" t="s">
        <v>294</v>
      </c>
      <c r="C63" t="s">
        <v>130</v>
      </c>
      <c r="D63">
        <v>9</v>
      </c>
    </row>
    <row r="64" spans="1:4" x14ac:dyDescent="0.3">
      <c r="A64">
        <v>2</v>
      </c>
      <c r="B64" t="s">
        <v>293</v>
      </c>
      <c r="C64" t="s">
        <v>162</v>
      </c>
      <c r="D64">
        <v>2</v>
      </c>
    </row>
    <row r="65" spans="1:4" x14ac:dyDescent="0.3">
      <c r="A65">
        <v>10</v>
      </c>
      <c r="B65" t="s">
        <v>292</v>
      </c>
      <c r="C65" t="s">
        <v>166</v>
      </c>
      <c r="D65">
        <v>10</v>
      </c>
    </row>
    <row r="66" spans="1:4" x14ac:dyDescent="0.3">
      <c r="A66">
        <v>2</v>
      </c>
      <c r="B66" t="s">
        <v>291</v>
      </c>
      <c r="C66" t="s">
        <v>162</v>
      </c>
      <c r="D66">
        <v>2</v>
      </c>
    </row>
    <row r="67" spans="1:4" x14ac:dyDescent="0.3">
      <c r="A67">
        <v>8</v>
      </c>
      <c r="B67" t="s">
        <v>290</v>
      </c>
      <c r="C67" t="s">
        <v>125</v>
      </c>
      <c r="D67">
        <v>8</v>
      </c>
    </row>
    <row r="68" spans="1:4" x14ac:dyDescent="0.3">
      <c r="A68">
        <v>2</v>
      </c>
      <c r="B68" t="s">
        <v>289</v>
      </c>
      <c r="C68" t="s">
        <v>162</v>
      </c>
      <c r="D68">
        <v>2</v>
      </c>
    </row>
    <row r="69" spans="1:4" x14ac:dyDescent="0.3">
      <c r="A69">
        <v>10</v>
      </c>
      <c r="B69" t="s">
        <v>288</v>
      </c>
      <c r="C69" t="s">
        <v>166</v>
      </c>
      <c r="D69">
        <v>10</v>
      </c>
    </row>
    <row r="70" spans="1:4" x14ac:dyDescent="0.3">
      <c r="A70">
        <v>6</v>
      </c>
      <c r="B70" t="s">
        <v>287</v>
      </c>
      <c r="C70" t="s">
        <v>164</v>
      </c>
      <c r="D70">
        <v>6</v>
      </c>
    </row>
    <row r="71" spans="1:4" x14ac:dyDescent="0.3">
      <c r="A71">
        <v>3</v>
      </c>
      <c r="B71" t="s">
        <v>286</v>
      </c>
      <c r="C71" t="s">
        <v>126</v>
      </c>
      <c r="D71">
        <v>3</v>
      </c>
    </row>
    <row r="72" spans="1:4" x14ac:dyDescent="0.3">
      <c r="A72">
        <v>3</v>
      </c>
      <c r="B72" t="s">
        <v>285</v>
      </c>
      <c r="C72" t="s">
        <v>126</v>
      </c>
      <c r="D72">
        <v>3</v>
      </c>
    </row>
    <row r="73" spans="1:4" x14ac:dyDescent="0.3">
      <c r="A73">
        <v>9</v>
      </c>
      <c r="B73" t="s">
        <v>284</v>
      </c>
      <c r="C73" t="s">
        <v>130</v>
      </c>
      <c r="D73">
        <v>9</v>
      </c>
    </row>
    <row r="74" spans="1:4" x14ac:dyDescent="0.3">
      <c r="A74">
        <v>4</v>
      </c>
      <c r="B74" t="s">
        <v>283</v>
      </c>
      <c r="C74" t="s">
        <v>129</v>
      </c>
      <c r="D74">
        <v>4</v>
      </c>
    </row>
    <row r="75" spans="1:4" x14ac:dyDescent="0.3">
      <c r="A75">
        <v>12</v>
      </c>
      <c r="B75" t="s">
        <v>282</v>
      </c>
      <c r="C75" t="s">
        <v>132</v>
      </c>
      <c r="D75">
        <v>12</v>
      </c>
    </row>
    <row r="76" spans="1:4" x14ac:dyDescent="0.3">
      <c r="A76">
        <v>10</v>
      </c>
      <c r="B76" t="s">
        <v>281</v>
      </c>
      <c r="C76" t="s">
        <v>166</v>
      </c>
      <c r="D76">
        <v>10</v>
      </c>
    </row>
    <row r="77" spans="1:4" x14ac:dyDescent="0.3">
      <c r="A77">
        <v>2</v>
      </c>
      <c r="B77" t="s">
        <v>280</v>
      </c>
      <c r="C77" t="s">
        <v>162</v>
      </c>
      <c r="D77">
        <v>2</v>
      </c>
    </row>
    <row r="78" spans="1:4" x14ac:dyDescent="0.3">
      <c r="A78">
        <v>7</v>
      </c>
      <c r="B78" t="s">
        <v>279</v>
      </c>
      <c r="C78" t="s">
        <v>165</v>
      </c>
      <c r="D78">
        <v>7</v>
      </c>
    </row>
    <row r="79" spans="1:4" x14ac:dyDescent="0.3">
      <c r="A79">
        <v>10</v>
      </c>
      <c r="B79" t="s">
        <v>278</v>
      </c>
      <c r="C79" t="s">
        <v>166</v>
      </c>
      <c r="D79">
        <v>10</v>
      </c>
    </row>
    <row r="80" spans="1:4" x14ac:dyDescent="0.3">
      <c r="A80">
        <v>3</v>
      </c>
      <c r="B80" t="s">
        <v>277</v>
      </c>
      <c r="C80" t="s">
        <v>126</v>
      </c>
      <c r="D80">
        <v>3</v>
      </c>
    </row>
    <row r="81" spans="1:4" x14ac:dyDescent="0.3">
      <c r="A81">
        <v>10</v>
      </c>
      <c r="B81" t="s">
        <v>276</v>
      </c>
      <c r="C81" t="s">
        <v>166</v>
      </c>
      <c r="D81">
        <v>10</v>
      </c>
    </row>
    <row r="82" spans="1:4" x14ac:dyDescent="0.3">
      <c r="A82">
        <v>9</v>
      </c>
      <c r="B82" t="s">
        <v>275</v>
      </c>
      <c r="C82" t="s">
        <v>130</v>
      </c>
      <c r="D82">
        <v>9</v>
      </c>
    </row>
  </sheetData>
  <dataValidations count="1">
    <dataValidation type="list" allowBlank="1" showInputMessage="1" showErrorMessage="1" sqref="A2:B13 F2:F13">
      <formula1>#REF!</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
  <sheetViews>
    <sheetView workbookViewId="0">
      <selection activeCell="K29" sqref="K29"/>
    </sheetView>
  </sheetViews>
  <sheetFormatPr defaultRowHeight="18.75" x14ac:dyDescent="0.3"/>
  <cols>
    <col min="10" max="10" width="11.09765625" customWidth="1"/>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N31"/>
  <sheetViews>
    <sheetView zoomScale="110" zoomScaleNormal="110" workbookViewId="0">
      <selection activeCell="O22" sqref="O22"/>
    </sheetView>
  </sheetViews>
  <sheetFormatPr defaultRowHeight="18.75" x14ac:dyDescent="0.3"/>
  <cols>
    <col min="1" max="1" width="19" customWidth="1"/>
    <col min="2" max="2" width="3.59765625" style="47" customWidth="1"/>
    <col min="3" max="3" width="10.296875" customWidth="1"/>
    <col min="4" max="4" width="8.59765625" customWidth="1"/>
    <col min="5" max="5" width="17.5" customWidth="1"/>
    <col min="6" max="6" width="5.69921875" style="47" customWidth="1"/>
    <col min="7" max="7" width="6.296875" customWidth="1"/>
    <col min="8" max="8" width="10.3984375" customWidth="1"/>
    <col min="9" max="9" width="7.296875" customWidth="1"/>
    <col min="10" max="10" width="5.296875" style="47" customWidth="1"/>
    <col min="11" max="11" width="19.59765625" customWidth="1"/>
    <col min="12" max="12" width="6" style="47" customWidth="1"/>
  </cols>
  <sheetData>
    <row r="1" spans="1:14" ht="36" customHeight="1" x14ac:dyDescent="0.4">
      <c r="A1" s="56"/>
      <c r="B1" s="56"/>
      <c r="C1" s="527" t="str">
        <f>'Area Data'!B1</f>
        <v>Olympic</v>
      </c>
      <c r="D1" s="527"/>
      <c r="E1" s="528" t="s">
        <v>191</v>
      </c>
      <c r="F1" s="528"/>
      <c r="G1" s="528"/>
      <c r="H1" s="528"/>
      <c r="I1" s="528"/>
      <c r="J1" s="50"/>
      <c r="K1" s="56" t="str">
        <f>'Area Data'!G1</f>
        <v>JUL-SEP 2011</v>
      </c>
      <c r="L1" s="50"/>
      <c r="M1" s="13"/>
    </row>
    <row r="2" spans="1:14" ht="32.25" customHeight="1" x14ac:dyDescent="0.3">
      <c r="A2" s="26"/>
      <c r="B2" s="43"/>
      <c r="C2" s="26"/>
      <c r="D2" s="26"/>
      <c r="E2" s="26"/>
      <c r="F2" s="43"/>
      <c r="G2" s="26"/>
      <c r="H2" s="26"/>
      <c r="I2" s="26"/>
      <c r="J2" s="43"/>
      <c r="K2" s="26"/>
      <c r="L2" s="46"/>
      <c r="M2" s="13"/>
    </row>
    <row r="3" spans="1:14" ht="18.75" customHeight="1" x14ac:dyDescent="0.3">
      <c r="A3" s="26"/>
      <c r="B3" s="43"/>
      <c r="C3" s="26"/>
      <c r="D3" s="26"/>
      <c r="E3" s="26"/>
      <c r="F3" s="43"/>
      <c r="G3" s="26"/>
      <c r="H3" s="26"/>
      <c r="I3" s="26"/>
      <c r="J3" s="43"/>
      <c r="K3" s="26"/>
      <c r="L3" s="46"/>
      <c r="M3" s="13"/>
    </row>
    <row r="4" spans="1:14" ht="18.75" customHeight="1" x14ac:dyDescent="0.3">
      <c r="A4" s="26"/>
      <c r="B4" s="43"/>
      <c r="C4" s="26"/>
      <c r="D4" s="26"/>
      <c r="E4" s="26"/>
      <c r="F4" s="43"/>
      <c r="G4" s="26"/>
      <c r="H4" s="26"/>
      <c r="I4" s="26"/>
      <c r="J4" s="43"/>
      <c r="K4" s="26"/>
      <c r="L4" s="46"/>
      <c r="M4" s="13"/>
    </row>
    <row r="5" spans="1:14" ht="18.75" customHeight="1" x14ac:dyDescent="0.3">
      <c r="A5" s="26"/>
      <c r="B5" s="43"/>
      <c r="C5" s="26"/>
      <c r="D5" s="26"/>
      <c r="E5" s="26"/>
      <c r="F5" s="43"/>
      <c r="G5" s="26"/>
      <c r="H5" s="26"/>
      <c r="I5" s="26"/>
      <c r="J5" s="43"/>
      <c r="K5" s="26"/>
      <c r="L5" s="46"/>
      <c r="M5" s="13"/>
    </row>
    <row r="6" spans="1:14" ht="18.75" customHeight="1" x14ac:dyDescent="0.3">
      <c r="A6" s="26"/>
      <c r="B6" s="43"/>
      <c r="C6" s="26"/>
      <c r="D6" s="26"/>
      <c r="E6" s="26"/>
      <c r="F6" s="43"/>
      <c r="G6" s="26"/>
      <c r="H6" s="26"/>
      <c r="I6" s="26"/>
      <c r="J6" s="43"/>
      <c r="K6" s="26"/>
      <c r="L6" s="46"/>
      <c r="M6" s="13"/>
    </row>
    <row r="7" spans="1:14" ht="45" customHeight="1" x14ac:dyDescent="0.3">
      <c r="A7" s="26"/>
      <c r="B7" s="43"/>
      <c r="C7" s="26"/>
      <c r="D7" s="26"/>
      <c r="E7" s="26"/>
      <c r="F7" s="43"/>
      <c r="G7" s="26"/>
      <c r="H7" s="27"/>
      <c r="I7" s="19"/>
      <c r="J7" s="53"/>
      <c r="K7" s="13"/>
      <c r="L7" s="46"/>
      <c r="M7" s="13"/>
    </row>
    <row r="8" spans="1:14" ht="19.5" customHeight="1" x14ac:dyDescent="0.3">
      <c r="A8" s="12"/>
      <c r="B8" s="34"/>
      <c r="C8" s="12"/>
      <c r="D8" s="12"/>
      <c r="E8" s="12"/>
      <c r="F8" s="34"/>
      <c r="G8" s="12"/>
      <c r="H8" s="12"/>
      <c r="I8" s="12"/>
      <c r="J8" s="34"/>
      <c r="K8" s="12"/>
      <c r="L8" s="46"/>
      <c r="M8" s="13"/>
    </row>
    <row r="9" spans="1:14" x14ac:dyDescent="0.3">
      <c r="A9" s="12"/>
      <c r="B9" s="34"/>
      <c r="C9" s="12"/>
      <c r="D9" s="12"/>
      <c r="E9" s="12"/>
      <c r="F9" s="34"/>
      <c r="G9" s="12"/>
      <c r="H9" s="12"/>
      <c r="I9" s="12"/>
      <c r="J9" s="34"/>
      <c r="K9" s="12"/>
      <c r="L9" s="46"/>
      <c r="M9" s="13"/>
    </row>
    <row r="10" spans="1:14" x14ac:dyDescent="0.3">
      <c r="A10" s="12"/>
      <c r="B10" s="34"/>
      <c r="C10" s="12"/>
      <c r="D10" s="12"/>
      <c r="E10" s="12"/>
      <c r="F10" s="34"/>
      <c r="G10" s="12"/>
      <c r="H10" s="12"/>
      <c r="I10" s="12"/>
      <c r="J10" s="34"/>
      <c r="K10" s="12"/>
      <c r="L10" s="46"/>
      <c r="M10" s="13"/>
    </row>
    <row r="11" spans="1:14" x14ac:dyDescent="0.3">
      <c r="A11" s="12"/>
      <c r="B11" s="34"/>
      <c r="C11" s="12"/>
      <c r="D11" s="12"/>
      <c r="E11" s="12"/>
      <c r="F11" s="34"/>
      <c r="G11" s="12"/>
      <c r="H11" s="12"/>
      <c r="I11" s="12"/>
      <c r="J11" s="34"/>
      <c r="K11" s="12"/>
      <c r="L11" s="46"/>
      <c r="M11" s="13"/>
    </row>
    <row r="12" spans="1:14" ht="42" customHeight="1" x14ac:dyDescent="0.35">
      <c r="A12" s="28"/>
      <c r="B12" s="44"/>
      <c r="C12" s="210"/>
      <c r="D12" s="210"/>
      <c r="E12" s="529"/>
      <c r="F12" s="48"/>
      <c r="G12" s="29"/>
      <c r="H12" s="30"/>
      <c r="I12" s="29"/>
      <c r="J12" s="54"/>
      <c r="K12" s="31"/>
      <c r="L12" s="22"/>
      <c r="M12" s="13"/>
    </row>
    <row r="13" spans="1:14" ht="18.75" customHeight="1" x14ac:dyDescent="0.35">
      <c r="A13" s="13"/>
      <c r="B13" s="45"/>
      <c r="C13" s="32"/>
      <c r="D13" s="32"/>
      <c r="E13" s="529"/>
      <c r="F13" s="46"/>
      <c r="G13" s="13"/>
      <c r="H13" s="13"/>
      <c r="I13" s="30"/>
      <c r="J13" s="33"/>
      <c r="K13" s="13"/>
      <c r="L13" s="51"/>
      <c r="M13" s="26"/>
      <c r="N13" s="211"/>
    </row>
    <row r="14" spans="1:14" ht="25.5" customHeight="1" x14ac:dyDescent="0.35">
      <c r="A14" s="13"/>
      <c r="B14" s="45"/>
      <c r="C14" s="32"/>
      <c r="D14" s="32"/>
      <c r="E14" s="529"/>
      <c r="F14" s="46"/>
      <c r="G14" s="13"/>
      <c r="H14" s="14"/>
      <c r="I14" s="30"/>
      <c r="J14" s="34"/>
      <c r="K14" s="13"/>
      <c r="L14" s="46"/>
      <c r="M14" s="26"/>
      <c r="N14" s="211"/>
    </row>
    <row r="15" spans="1:14" s="20" customFormat="1" ht="25.5" customHeight="1" x14ac:dyDescent="0.5">
      <c r="A15" s="13"/>
      <c r="B15" s="45"/>
      <c r="C15" s="32"/>
      <c r="D15" s="32"/>
      <c r="E15" s="529"/>
      <c r="F15" s="49"/>
      <c r="G15" s="14"/>
      <c r="H15" s="35"/>
      <c r="I15" s="30"/>
      <c r="J15" s="36"/>
      <c r="K15" s="24"/>
      <c r="L15" s="52"/>
      <c r="M15" s="26"/>
      <c r="N15" s="211"/>
    </row>
    <row r="16" spans="1:14" s="20" customFormat="1" ht="32.25" customHeight="1" x14ac:dyDescent="0.5">
      <c r="A16" s="13"/>
      <c r="B16" s="45"/>
      <c r="C16" s="32"/>
      <c r="D16" s="32"/>
      <c r="E16" s="529"/>
      <c r="F16" s="49"/>
      <c r="G16" s="14"/>
      <c r="H16" s="35"/>
      <c r="I16" s="30"/>
      <c r="J16" s="33"/>
      <c r="K16" s="25"/>
      <c r="L16" s="52"/>
      <c r="M16" s="26"/>
      <c r="N16" s="211"/>
    </row>
    <row r="17" spans="1:14" s="20" customFormat="1" ht="36" customHeight="1" x14ac:dyDescent="0.5">
      <c r="A17" s="13"/>
      <c r="B17" s="45"/>
      <c r="C17" s="32"/>
      <c r="D17" s="32"/>
      <c r="E17" s="529"/>
      <c r="F17" s="23"/>
      <c r="G17" s="23"/>
      <c r="H17" s="35"/>
      <c r="I17" s="30"/>
      <c r="J17" s="33"/>
      <c r="K17" s="25"/>
      <c r="L17" s="52"/>
      <c r="M17" s="26"/>
      <c r="N17" s="211"/>
    </row>
    <row r="18" spans="1:14" ht="28.5" customHeight="1" x14ac:dyDescent="0.35">
      <c r="A18" s="13"/>
      <c r="B18" s="45"/>
      <c r="C18" s="32"/>
      <c r="D18" s="32"/>
      <c r="E18" s="529"/>
      <c r="F18" s="46"/>
      <c r="G18" s="13"/>
      <c r="H18" s="13"/>
      <c r="I18" s="30"/>
      <c r="J18" s="36"/>
      <c r="K18" s="13"/>
      <c r="L18" s="46"/>
      <c r="M18" s="26"/>
      <c r="N18" s="211"/>
    </row>
    <row r="19" spans="1:14" ht="45" customHeight="1" x14ac:dyDescent="0.35">
      <c r="A19" s="13"/>
      <c r="B19" s="46"/>
      <c r="C19" s="13"/>
      <c r="D19" s="13"/>
      <c r="E19" s="529"/>
      <c r="F19" s="46"/>
      <c r="G19" s="13"/>
      <c r="H19" s="13"/>
      <c r="I19" s="30"/>
      <c r="J19" s="36"/>
      <c r="K19" s="13"/>
      <c r="L19" s="43"/>
      <c r="M19" s="26"/>
      <c r="N19" s="211"/>
    </row>
    <row r="20" spans="1:14" s="76" customFormat="1" ht="22.5" customHeight="1" x14ac:dyDescent="0.25">
      <c r="A20" s="530" t="s">
        <v>86</v>
      </c>
      <c r="B20" s="530"/>
      <c r="C20" s="77">
        <f>'Area Data'!C36</f>
        <v>3828</v>
      </c>
      <c r="D20" s="531" t="s">
        <v>23</v>
      </c>
      <c r="E20" s="531"/>
      <c r="F20" s="79">
        <f>'Area Data'!C37</f>
        <v>1.9136640557006093</v>
      </c>
      <c r="G20" s="532" t="s">
        <v>27</v>
      </c>
      <c r="H20" s="532"/>
      <c r="I20" s="156">
        <f>'Area Data'!C38</f>
        <v>0.81501330839507957</v>
      </c>
      <c r="J20" s="523" t="s">
        <v>136</v>
      </c>
      <c r="K20" s="523"/>
      <c r="L20" s="78">
        <f>'Area Data'!C39</f>
        <v>10.447811447811448</v>
      </c>
      <c r="M20" s="74"/>
      <c r="N20" s="75"/>
    </row>
    <row r="21" spans="1:14" ht="32.25" customHeight="1" x14ac:dyDescent="0.35">
      <c r="A21" s="524"/>
      <c r="B21" s="524"/>
      <c r="C21" s="524"/>
      <c r="D21" s="524"/>
      <c r="E21" s="524"/>
      <c r="F21" s="524"/>
      <c r="G21" s="524"/>
      <c r="H21" s="524"/>
      <c r="I21" s="524"/>
      <c r="J21" s="524"/>
      <c r="K21" s="524"/>
      <c r="L21" s="524"/>
      <c r="M21" s="13"/>
    </row>
    <row r="22" spans="1:14" ht="12.75" customHeight="1" x14ac:dyDescent="0.3">
      <c r="A22" s="13"/>
      <c r="B22" s="46"/>
      <c r="C22" s="13"/>
      <c r="D22" s="13"/>
      <c r="E22" s="13"/>
      <c r="F22" s="46"/>
      <c r="G22" s="13"/>
      <c r="H22" s="13"/>
      <c r="I22" s="13"/>
      <c r="J22" s="43"/>
      <c r="K22" s="26"/>
      <c r="L22" s="46"/>
      <c r="M22" s="13"/>
    </row>
    <row r="23" spans="1:14" ht="15.75" customHeight="1" x14ac:dyDescent="0.3">
      <c r="J23" s="212"/>
      <c r="K23" s="211"/>
    </row>
    <row r="24" spans="1:14" ht="18.75" customHeight="1" x14ac:dyDescent="0.3">
      <c r="J24" s="525"/>
      <c r="K24" s="526"/>
    </row>
    <row r="25" spans="1:14" ht="18.75" customHeight="1" x14ac:dyDescent="0.3">
      <c r="J25" s="525"/>
      <c r="K25" s="526"/>
    </row>
    <row r="26" spans="1:14" ht="18.75" customHeight="1" x14ac:dyDescent="0.3">
      <c r="J26" s="212"/>
      <c r="K26" s="211"/>
    </row>
    <row r="29" spans="1:14" x14ac:dyDescent="0.3">
      <c r="K29" s="211"/>
    </row>
    <row r="30" spans="1:14" ht="18.75" customHeight="1" x14ac:dyDescent="0.3"/>
    <row r="31" spans="1:14" ht="18.75" customHeight="1" x14ac:dyDescent="0.3"/>
  </sheetData>
  <mergeCells count="10">
    <mergeCell ref="J20:K20"/>
    <mergeCell ref="A21:L21"/>
    <mergeCell ref="J24:J25"/>
    <mergeCell ref="K24:K25"/>
    <mergeCell ref="C1:D1"/>
    <mergeCell ref="E1:I1"/>
    <mergeCell ref="E12:E19"/>
    <mergeCell ref="A20:B20"/>
    <mergeCell ref="D20:E20"/>
    <mergeCell ref="G20:H20"/>
  </mergeCells>
  <pageMargins left="0.18" right="0.18" top="0.43" bottom="0.26" header="0.23" footer="0.17"/>
  <pageSetup scale="9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49992370372631"/>
    <pageSetUpPr fitToPage="1"/>
  </sheetPr>
  <dimension ref="A1:X66"/>
  <sheetViews>
    <sheetView zoomScale="70" zoomScaleNormal="70" workbookViewId="0">
      <selection activeCell="Q24" sqref="Q24"/>
    </sheetView>
  </sheetViews>
  <sheetFormatPr defaultRowHeight="18.75" x14ac:dyDescent="0.3"/>
  <cols>
    <col min="1" max="1" width="11.09765625" customWidth="1"/>
    <col min="2" max="2" width="12.19921875" customWidth="1"/>
    <col min="4" max="4" width="3.69921875" customWidth="1"/>
    <col min="5" max="5" width="18.19921875" customWidth="1"/>
    <col min="6" max="6" width="17.5" customWidth="1"/>
    <col min="7" max="7" width="10.296875" customWidth="1"/>
    <col min="8" max="8" width="15" customWidth="1"/>
    <col min="9" max="9" width="11.8984375" customWidth="1"/>
    <col min="10" max="10" width="10.3984375" customWidth="1"/>
    <col min="11" max="11" width="8.796875" customWidth="1"/>
    <col min="12" max="12" width="20" customWidth="1"/>
    <col min="13" max="13" width="9" customWidth="1"/>
    <col min="14" max="14" width="10.296875" customWidth="1"/>
    <col min="19" max="19" width="12.3984375" customWidth="1"/>
  </cols>
  <sheetData>
    <row r="1" spans="1:23" ht="39.75" customHeight="1" x14ac:dyDescent="0.4">
      <c r="A1" s="57"/>
      <c r="B1" s="57"/>
      <c r="C1" s="459"/>
      <c r="D1" s="460" t="str">
        <f>'Area Data'!B1</f>
        <v>Olympic</v>
      </c>
      <c r="E1" s="459" t="s">
        <v>190</v>
      </c>
      <c r="F1" s="56"/>
      <c r="G1" s="57"/>
      <c r="H1" s="57"/>
      <c r="I1" s="57"/>
      <c r="J1" s="57"/>
      <c r="K1" s="56" t="str">
        <f>'Area Data'!G1</f>
        <v>JUL-SEP 2011</v>
      </c>
      <c r="L1" s="56"/>
    </row>
    <row r="2" spans="1:23" x14ac:dyDescent="0.3">
      <c r="D2" s="13"/>
      <c r="E2" s="3"/>
      <c r="F2" s="3"/>
      <c r="G2" s="3"/>
      <c r="H2" s="3"/>
      <c r="I2" s="13"/>
      <c r="J2" s="3"/>
      <c r="K2" s="3"/>
      <c r="L2" s="3"/>
      <c r="M2" s="3"/>
      <c r="N2" s="13"/>
      <c r="O2" s="13"/>
    </row>
    <row r="3" spans="1:23" x14ac:dyDescent="0.3">
      <c r="D3" s="13"/>
      <c r="E3" s="3"/>
      <c r="J3" s="3"/>
      <c r="K3" s="3"/>
      <c r="L3" s="3"/>
      <c r="M3" s="3"/>
      <c r="N3" s="13"/>
      <c r="O3" s="13"/>
    </row>
    <row r="4" spans="1:23" x14ac:dyDescent="0.3">
      <c r="D4" s="13"/>
      <c r="E4" s="3"/>
      <c r="K4" s="3"/>
      <c r="L4" s="3"/>
      <c r="M4" s="3"/>
      <c r="N4" s="13"/>
      <c r="O4" s="13"/>
    </row>
    <row r="5" spans="1:23" x14ac:dyDescent="0.3">
      <c r="D5" s="13"/>
      <c r="E5" s="3"/>
      <c r="K5" s="3"/>
      <c r="L5" s="3"/>
      <c r="M5" s="3"/>
      <c r="N5" s="13"/>
      <c r="O5" s="13"/>
    </row>
    <row r="6" spans="1:23" x14ac:dyDescent="0.3">
      <c r="D6" s="13"/>
      <c r="E6" s="3"/>
      <c r="K6" s="3"/>
      <c r="L6" s="3"/>
      <c r="M6" s="3"/>
      <c r="N6" s="13"/>
      <c r="O6" s="13"/>
    </row>
    <row r="7" spans="1:23" x14ac:dyDescent="0.3">
      <c r="D7" s="13"/>
      <c r="E7" s="3"/>
      <c r="F7" s="3"/>
      <c r="G7" s="3"/>
      <c r="K7" s="3"/>
      <c r="L7" s="3"/>
      <c r="M7" s="3"/>
      <c r="N7" s="13"/>
      <c r="O7" s="13"/>
    </row>
    <row r="8" spans="1:23" x14ac:dyDescent="0.3">
      <c r="D8" s="13"/>
      <c r="E8" s="3"/>
      <c r="F8" s="3"/>
      <c r="G8" s="3"/>
      <c r="H8" s="3"/>
      <c r="I8" s="13"/>
      <c r="J8" s="3"/>
      <c r="K8" s="3"/>
      <c r="L8" s="3"/>
      <c r="M8" s="3"/>
      <c r="N8" s="13"/>
      <c r="O8" s="13"/>
    </row>
    <row r="9" spans="1:23" ht="40.5" customHeight="1" x14ac:dyDescent="0.3">
      <c r="D9" s="13"/>
      <c r="E9" s="3"/>
      <c r="F9" s="3"/>
      <c r="G9" s="3"/>
      <c r="H9" s="3"/>
      <c r="I9" s="13"/>
      <c r="J9" s="3"/>
      <c r="K9" s="3"/>
      <c r="L9" s="3"/>
      <c r="M9" s="3"/>
      <c r="N9" s="13"/>
    </row>
    <row r="10" spans="1:23" ht="48" customHeight="1" x14ac:dyDescent="0.3">
      <c r="D10" s="13"/>
      <c r="E10" s="3"/>
      <c r="F10" s="3"/>
      <c r="G10" s="3"/>
      <c r="H10" s="3"/>
      <c r="I10" s="13"/>
      <c r="J10" s="3"/>
      <c r="K10" s="3"/>
      <c r="L10" s="3"/>
      <c r="M10" s="3"/>
      <c r="N10" s="3"/>
      <c r="V10" s="5"/>
    </row>
    <row r="11" spans="1:23" s="2" customFormat="1" ht="40.5" customHeight="1" x14ac:dyDescent="0.3">
      <c r="D11" s="199"/>
      <c r="E11" s="199"/>
      <c r="M11" s="199"/>
      <c r="N11" s="199"/>
      <c r="V11" s="107"/>
    </row>
    <row r="12" spans="1:23" s="2" customFormat="1" ht="40.5" customHeight="1" x14ac:dyDescent="0.3">
      <c r="M12" s="199"/>
      <c r="N12" s="199"/>
      <c r="V12" s="107"/>
    </row>
    <row r="13" spans="1:23" s="2" customFormat="1" ht="40.5" customHeight="1" x14ac:dyDescent="0.3">
      <c r="M13" s="199"/>
      <c r="N13" s="199"/>
      <c r="V13" s="107"/>
    </row>
    <row r="14" spans="1:23" s="2" customFormat="1" ht="40.5" customHeight="1" x14ac:dyDescent="0.3">
      <c r="M14" s="199"/>
      <c r="N14" s="199"/>
      <c r="V14" s="107"/>
    </row>
    <row r="15" spans="1:23" s="2" customFormat="1" ht="40.5" customHeight="1" x14ac:dyDescent="0.3">
      <c r="M15" s="199"/>
      <c r="N15" s="199"/>
      <c r="P15"/>
      <c r="Q15"/>
      <c r="R15"/>
      <c r="S15"/>
      <c r="T15"/>
      <c r="U15"/>
      <c r="V15" s="107"/>
    </row>
    <row r="16" spans="1:23" ht="47.25" customHeight="1" x14ac:dyDescent="0.3">
      <c r="M16" s="108"/>
      <c r="N16" s="3"/>
      <c r="O16" s="13"/>
      <c r="P16" s="2"/>
      <c r="Q16" s="2"/>
      <c r="R16" s="2"/>
      <c r="S16" s="2"/>
      <c r="T16" s="2"/>
      <c r="U16" s="2"/>
      <c r="V16" s="5"/>
      <c r="W16" s="5"/>
    </row>
    <row r="17" spans="1:24" x14ac:dyDescent="0.3">
      <c r="M17" s="3"/>
      <c r="N17" s="3"/>
      <c r="O17" s="3"/>
      <c r="P17" s="2"/>
      <c r="Q17" s="2"/>
      <c r="R17" s="2"/>
      <c r="S17" s="2"/>
      <c r="T17" s="2"/>
      <c r="U17" s="2"/>
      <c r="V17" s="5"/>
      <c r="W17" s="5"/>
    </row>
    <row r="18" spans="1:24" x14ac:dyDescent="0.3">
      <c r="F18" s="3"/>
      <c r="G18" s="3"/>
      <c r="N18" s="3"/>
      <c r="O18" s="133"/>
      <c r="P18" s="2"/>
      <c r="Q18" s="2"/>
      <c r="R18" s="2"/>
      <c r="S18" s="2"/>
      <c r="T18" s="2"/>
      <c r="U18" s="2"/>
      <c r="V18" s="5"/>
      <c r="W18" s="5"/>
    </row>
    <row r="19" spans="1:24" ht="50.25" customHeight="1" x14ac:dyDescent="0.55000000000000004">
      <c r="G19" s="213"/>
      <c r="H19" s="543" t="s">
        <v>111</v>
      </c>
      <c r="I19" s="543"/>
      <c r="J19" s="543"/>
      <c r="K19" s="543"/>
      <c r="L19" s="543"/>
      <c r="M19" s="201"/>
      <c r="N19" s="61"/>
      <c r="O19" s="133"/>
      <c r="P19" s="2"/>
      <c r="Q19" s="2"/>
      <c r="R19" s="2"/>
      <c r="S19" s="2"/>
      <c r="T19" s="2"/>
      <c r="U19" s="2"/>
    </row>
    <row r="20" spans="1:24" ht="28.5" customHeight="1" x14ac:dyDescent="0.5">
      <c r="A20" s="542" t="s">
        <v>265</v>
      </c>
      <c r="B20" s="542"/>
      <c r="C20" s="542"/>
      <c r="D20" s="542"/>
      <c r="E20" s="542"/>
      <c r="F20" s="542"/>
      <c r="G20" s="204"/>
      <c r="H20" s="537" t="s">
        <v>501</v>
      </c>
      <c r="I20" s="537"/>
      <c r="J20" s="537"/>
      <c r="K20" s="545">
        <f ca="1">'Area Data'!G35</f>
        <v>20369.424529067514</v>
      </c>
      <c r="L20" s="545"/>
      <c r="N20" s="3"/>
      <c r="O20" s="133"/>
      <c r="P20" s="2"/>
      <c r="Q20" s="2"/>
      <c r="R20" s="2"/>
      <c r="S20" s="2"/>
      <c r="T20" s="2"/>
      <c r="U20" s="2"/>
      <c r="V20" s="39"/>
      <c r="W20" s="62"/>
    </row>
    <row r="21" spans="1:24" ht="38.25" customHeight="1" x14ac:dyDescent="0.35">
      <c r="A21" s="544" t="s">
        <v>267</v>
      </c>
      <c r="B21" s="544"/>
      <c r="C21" s="544"/>
      <c r="D21" s="544"/>
      <c r="E21" s="224" t="s">
        <v>35</v>
      </c>
      <c r="F21" s="225" t="s">
        <v>268</v>
      </c>
      <c r="G21" s="206"/>
      <c r="H21" s="533" t="s">
        <v>112</v>
      </c>
      <c r="I21" s="533"/>
      <c r="J21" s="533"/>
      <c r="K21" s="540">
        <f>'Area Data'!G37</f>
        <v>0.31771174434104987</v>
      </c>
      <c r="L21" s="540"/>
      <c r="N21" s="3"/>
      <c r="O21" s="133"/>
      <c r="V21" s="39"/>
      <c r="W21" s="62"/>
    </row>
    <row r="22" spans="1:24" s="2" customFormat="1" ht="39.75" customHeight="1" x14ac:dyDescent="0.35">
      <c r="A22" s="539" t="s">
        <v>1</v>
      </c>
      <c r="B22" s="539"/>
      <c r="C22" s="539"/>
      <c r="D22" s="539"/>
      <c r="E22" s="207">
        <f>'Area Data'!$G$4</f>
        <v>8393</v>
      </c>
      <c r="F22" s="207">
        <f>'Area Data'!$H$4</f>
        <v>16910</v>
      </c>
      <c r="G22" s="206"/>
      <c r="H22" s="537" t="s">
        <v>269</v>
      </c>
      <c r="I22" s="537"/>
      <c r="J22" s="537"/>
      <c r="K22" s="538">
        <f>'Area Data'!G32</f>
        <v>0.92042706280284714</v>
      </c>
      <c r="L22" s="538"/>
      <c r="N22" s="5"/>
      <c r="O22" s="133"/>
      <c r="P22"/>
      <c r="Q22"/>
      <c r="R22" s="5"/>
      <c r="S22" s="5"/>
      <c r="T22" s="5"/>
      <c r="U22" s="5"/>
      <c r="V22" s="42"/>
      <c r="W22" s="42"/>
    </row>
    <row r="23" spans="1:24" ht="31.5" customHeight="1" x14ac:dyDescent="0.35">
      <c r="A23" s="536" t="s">
        <v>2</v>
      </c>
      <c r="B23" s="536"/>
      <c r="C23" s="536"/>
      <c r="D23" s="536"/>
      <c r="E23" s="208">
        <f>'Area Data'!$G$8</f>
        <v>8026</v>
      </c>
      <c r="F23" s="208">
        <f>'Area Data'!$H$8</f>
        <v>10301</v>
      </c>
      <c r="G23" s="206"/>
      <c r="H23" s="533" t="s">
        <v>110</v>
      </c>
      <c r="I23" s="533"/>
      <c r="J23" s="533"/>
      <c r="K23" s="540">
        <f>'Area Data'!G33</f>
        <v>0.27798672851991152</v>
      </c>
      <c r="L23" s="540"/>
      <c r="N23" s="5"/>
      <c r="O23" s="133"/>
      <c r="R23" s="107"/>
      <c r="S23" s="107"/>
      <c r="T23" s="107"/>
      <c r="U23" s="107"/>
      <c r="V23" s="66"/>
      <c r="W23" s="66"/>
    </row>
    <row r="24" spans="1:24" ht="64.5" customHeight="1" x14ac:dyDescent="0.35">
      <c r="A24" s="539" t="s">
        <v>3</v>
      </c>
      <c r="B24" s="539"/>
      <c r="C24" s="539"/>
      <c r="D24" s="539"/>
      <c r="E24" s="209">
        <f>'Area Data'!G12</f>
        <v>109023482</v>
      </c>
      <c r="F24" s="207">
        <f>'Area Data'!H12</f>
        <v>7956</v>
      </c>
      <c r="G24" s="2"/>
      <c r="H24" s="537" t="s">
        <v>113</v>
      </c>
      <c r="I24" s="537"/>
      <c r="J24" s="537"/>
      <c r="K24" s="541" t="str">
        <f>'Area Data'!G38</f>
        <v>Agriculture, +6.5% (756)</v>
      </c>
      <c r="L24" s="541"/>
      <c r="N24" s="5"/>
      <c r="O24" s="133"/>
      <c r="S24" s="107"/>
      <c r="T24" s="107"/>
      <c r="U24" s="107"/>
      <c r="V24" s="73"/>
      <c r="W24" s="73"/>
    </row>
    <row r="25" spans="1:24" ht="63.75" customHeight="1" x14ac:dyDescent="0.35">
      <c r="G25" s="2"/>
      <c r="H25" s="533" t="s">
        <v>266</v>
      </c>
      <c r="I25" s="533"/>
      <c r="J25" s="533"/>
      <c r="K25" s="534" t="str">
        <f>'Area Data'!G39</f>
        <v>Construction, -13.5% (4636)</v>
      </c>
      <c r="L25" s="534"/>
      <c r="N25" s="5"/>
      <c r="O25" s="133"/>
      <c r="P25" s="2"/>
      <c r="Q25" s="2"/>
      <c r="S25" s="107"/>
      <c r="T25" s="107"/>
      <c r="U25" s="107"/>
      <c r="V25" s="65"/>
      <c r="W25" s="66"/>
      <c r="X25" s="66"/>
    </row>
    <row r="26" spans="1:24" ht="24.75" customHeight="1" x14ac:dyDescent="0.45">
      <c r="A26" s="58"/>
      <c r="B26" s="58"/>
      <c r="C26" s="58"/>
      <c r="D26" s="58"/>
      <c r="E26" s="58"/>
      <c r="F26" s="58"/>
      <c r="G26" s="58"/>
      <c r="H26" s="58"/>
      <c r="I26" s="58"/>
      <c r="J26" s="58"/>
      <c r="K26" s="58"/>
      <c r="L26" s="58"/>
      <c r="N26" s="67"/>
      <c r="O26" s="39"/>
      <c r="P26" s="2"/>
      <c r="Q26" s="2"/>
      <c r="S26" s="107"/>
      <c r="T26" s="107"/>
      <c r="U26" s="107"/>
      <c r="V26" s="3"/>
      <c r="W26" s="3"/>
      <c r="X26" s="3"/>
    </row>
    <row r="27" spans="1:24" ht="24" customHeight="1" x14ac:dyDescent="0.45">
      <c r="L27" s="202"/>
      <c r="N27" s="200"/>
      <c r="O27" s="200"/>
      <c r="R27" s="2"/>
      <c r="S27" s="107"/>
      <c r="T27" s="107"/>
      <c r="U27" s="107"/>
      <c r="V27" s="13"/>
      <c r="W27" s="13"/>
      <c r="X27" s="13"/>
    </row>
    <row r="28" spans="1:24" ht="31.5" customHeight="1" x14ac:dyDescent="0.35">
      <c r="L28" s="202"/>
      <c r="N28" s="535"/>
      <c r="O28" s="60"/>
      <c r="P28" s="5"/>
      <c r="Q28" s="5"/>
      <c r="R28" s="107"/>
      <c r="S28" s="5"/>
      <c r="T28" s="5"/>
      <c r="U28" s="5"/>
      <c r="W28" s="13"/>
      <c r="X28" s="13"/>
    </row>
    <row r="29" spans="1:24" ht="30.75" customHeight="1" x14ac:dyDescent="0.3">
      <c r="H29" s="2"/>
      <c r="I29" s="2"/>
      <c r="J29" s="2"/>
      <c r="K29" s="2"/>
      <c r="L29" s="203"/>
      <c r="M29" s="2"/>
      <c r="N29" s="535"/>
      <c r="O29" s="64"/>
      <c r="P29" s="2"/>
      <c r="Q29" s="2"/>
      <c r="R29" s="107"/>
      <c r="S29" s="5"/>
      <c r="T29" s="5"/>
      <c r="U29" s="5"/>
      <c r="W29" s="13"/>
      <c r="X29" s="13"/>
    </row>
    <row r="30" spans="1:24" ht="52.5" customHeight="1" x14ac:dyDescent="0.3">
      <c r="L30" s="203"/>
      <c r="N30" s="5"/>
      <c r="O30" s="60"/>
      <c r="R30" s="107"/>
      <c r="S30" s="5"/>
      <c r="T30" s="5"/>
      <c r="U30" s="5"/>
    </row>
    <row r="31" spans="1:24" ht="21" x14ac:dyDescent="0.3">
      <c r="L31" s="203"/>
      <c r="O31" s="60"/>
      <c r="R31" s="107"/>
    </row>
    <row r="32" spans="1:24" ht="21" x14ac:dyDescent="0.3">
      <c r="H32" s="2"/>
      <c r="I32" s="2"/>
      <c r="L32" s="203"/>
      <c r="O32" s="3"/>
      <c r="R32" s="5"/>
      <c r="S32" s="3"/>
      <c r="T32" s="3"/>
      <c r="U32" s="61"/>
    </row>
    <row r="33" spans="5:17" ht="28.5" x14ac:dyDescent="0.45">
      <c r="E33" s="3"/>
      <c r="F33" s="200"/>
      <c r="G33" s="200"/>
      <c r="H33" s="3"/>
      <c r="P33" s="2"/>
      <c r="Q33" s="2"/>
    </row>
    <row r="34" spans="5:17" x14ac:dyDescent="0.3">
      <c r="E34" s="13"/>
      <c r="P34" s="2"/>
      <c r="Q34" s="2"/>
    </row>
    <row r="35" spans="5:17" x14ac:dyDescent="0.3">
      <c r="E35" s="26"/>
      <c r="J35" s="3"/>
      <c r="K35" s="3"/>
      <c r="L35" s="61"/>
      <c r="M35" s="13"/>
      <c r="P35" s="2"/>
      <c r="Q35" s="2"/>
    </row>
    <row r="36" spans="5:17" x14ac:dyDescent="0.3">
      <c r="E36" s="26"/>
      <c r="J36" s="63"/>
      <c r="K36" s="63"/>
      <c r="L36" s="69"/>
      <c r="M36" s="13"/>
      <c r="P36" s="2"/>
      <c r="Q36" s="2"/>
    </row>
    <row r="37" spans="5:17" ht="62.25" customHeight="1" x14ac:dyDescent="0.3">
      <c r="E37" s="211"/>
      <c r="J37" s="3"/>
      <c r="K37" s="3"/>
      <c r="L37" s="70"/>
      <c r="N37" s="62"/>
      <c r="P37" s="2"/>
      <c r="Q37" s="2"/>
    </row>
    <row r="38" spans="5:17" x14ac:dyDescent="0.3">
      <c r="I38" s="3"/>
      <c r="J38" s="3"/>
      <c r="K38" s="41"/>
      <c r="L38" s="72"/>
    </row>
    <row r="39" spans="5:17" x14ac:dyDescent="0.3">
      <c r="I39" s="3"/>
      <c r="J39" s="3"/>
      <c r="K39" s="3"/>
      <c r="L39" s="3"/>
    </row>
    <row r="40" spans="5:17" x14ac:dyDescent="0.3">
      <c r="I40" s="40"/>
      <c r="J40" s="3"/>
      <c r="K40" s="3"/>
      <c r="L40" s="3"/>
    </row>
    <row r="41" spans="5:17" x14ac:dyDescent="0.3">
      <c r="I41" s="3"/>
      <c r="J41" s="13"/>
      <c r="K41" s="13"/>
      <c r="L41" s="13"/>
    </row>
    <row r="42" spans="5:17" x14ac:dyDescent="0.3">
      <c r="I42" s="3"/>
      <c r="J42" s="13"/>
      <c r="K42" s="13"/>
      <c r="L42" s="13"/>
    </row>
    <row r="43" spans="5:17" x14ac:dyDescent="0.3">
      <c r="F43" s="62"/>
      <c r="G43" s="62"/>
      <c r="I43" s="60"/>
      <c r="J43" s="13"/>
      <c r="K43" s="13"/>
      <c r="L43" s="13"/>
    </row>
    <row r="44" spans="5:17" x14ac:dyDescent="0.3">
      <c r="F44" s="60"/>
      <c r="G44" s="60"/>
      <c r="H44" s="60"/>
      <c r="I44" s="3"/>
      <c r="M44" s="61"/>
    </row>
    <row r="45" spans="5:17" x14ac:dyDescent="0.3">
      <c r="F45" s="60"/>
      <c r="G45" s="60"/>
      <c r="H45" s="60"/>
      <c r="I45" s="13"/>
    </row>
    <row r="51" spans="16:21" x14ac:dyDescent="0.3">
      <c r="P51" s="64"/>
      <c r="Q51" s="64"/>
      <c r="R51" s="26"/>
    </row>
    <row r="52" spans="16:21" x14ac:dyDescent="0.3">
      <c r="P52" s="25"/>
      <c r="Q52" s="60"/>
      <c r="R52" s="26"/>
    </row>
    <row r="53" spans="16:21" x14ac:dyDescent="0.3">
      <c r="P53" s="71"/>
      <c r="Q53" s="60"/>
      <c r="R53" s="211"/>
    </row>
    <row r="54" spans="16:21" x14ac:dyDescent="0.3">
      <c r="P54" s="60"/>
      <c r="Q54" s="25"/>
      <c r="R54" s="211"/>
    </row>
    <row r="55" spans="16:21" x14ac:dyDescent="0.3">
      <c r="P55" s="3"/>
      <c r="Q55" s="3"/>
    </row>
    <row r="56" spans="16:21" x14ac:dyDescent="0.3">
      <c r="P56" s="13"/>
      <c r="Q56" s="13"/>
      <c r="S56" s="40"/>
      <c r="T56" s="40"/>
      <c r="U56" s="62"/>
    </row>
    <row r="57" spans="16:21" x14ac:dyDescent="0.3">
      <c r="P57" s="26"/>
      <c r="Q57" s="26"/>
    </row>
    <row r="58" spans="16:21" x14ac:dyDescent="0.3">
      <c r="P58" s="26"/>
      <c r="Q58" s="26"/>
    </row>
    <row r="59" spans="16:21" x14ac:dyDescent="0.3">
      <c r="P59" s="211"/>
      <c r="Q59" s="211"/>
    </row>
    <row r="60" spans="16:21" x14ac:dyDescent="0.3">
      <c r="P60" s="211"/>
      <c r="Q60" s="211"/>
      <c r="R60" s="3"/>
    </row>
    <row r="66" spans="16:17" x14ac:dyDescent="0.3">
      <c r="P66" s="60"/>
      <c r="Q66" s="60"/>
    </row>
  </sheetData>
  <mergeCells count="19">
    <mergeCell ref="H21:J21"/>
    <mergeCell ref="K21:L21"/>
    <mergeCell ref="A20:F20"/>
    <mergeCell ref="H19:L19"/>
    <mergeCell ref="A21:D21"/>
    <mergeCell ref="H20:J20"/>
    <mergeCell ref="K20:L20"/>
    <mergeCell ref="H25:J25"/>
    <mergeCell ref="K25:L25"/>
    <mergeCell ref="N28:N29"/>
    <mergeCell ref="A23:D23"/>
    <mergeCell ref="H22:J22"/>
    <mergeCell ref="K22:L22"/>
    <mergeCell ref="A24:D24"/>
    <mergeCell ref="H23:J23"/>
    <mergeCell ref="K23:L23"/>
    <mergeCell ref="A22:D22"/>
    <mergeCell ref="H24:J24"/>
    <mergeCell ref="K24:L24"/>
  </mergeCells>
  <pageMargins left="0.65" right="0.12" top="0.34" bottom="0.03" header="0.22" footer="0.15"/>
  <pageSetup scale="67"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ublished="0">
    <pageSetUpPr fitToPage="1"/>
  </sheetPr>
  <dimension ref="A1:T74"/>
  <sheetViews>
    <sheetView topLeftCell="A21" zoomScale="120" zoomScaleNormal="120" workbookViewId="0">
      <selection activeCell="C41" sqref="C41"/>
    </sheetView>
  </sheetViews>
  <sheetFormatPr defaultRowHeight="18.75" x14ac:dyDescent="0.3"/>
  <cols>
    <col min="1" max="1" width="6.3984375" customWidth="1"/>
    <col min="2" max="2" width="37.59765625" style="9" customWidth="1"/>
    <col min="3" max="4" width="15" style="122" customWidth="1"/>
    <col min="5" max="5" width="3.296875" style="81" customWidth="1"/>
    <col min="6" max="6" width="34.296875" style="11" customWidth="1"/>
    <col min="7" max="7" width="20.796875" style="11" customWidth="1"/>
    <col min="8" max="8" width="14.5" style="11" customWidth="1"/>
    <col min="9" max="9" width="12" style="2" customWidth="1"/>
    <col min="10" max="10" width="12.59765625" style="2" customWidth="1"/>
    <col min="11" max="11" width="3.3984375" customWidth="1"/>
    <col min="12" max="12" width="20.09765625" customWidth="1"/>
    <col min="13" max="13" width="14.09765625" bestFit="1" customWidth="1"/>
    <col min="14" max="14" width="11.3984375" customWidth="1"/>
    <col min="15" max="15" width="10.5" bestFit="1" customWidth="1"/>
  </cols>
  <sheetData>
    <row r="1" spans="1:15" ht="39.75" customHeight="1" x14ac:dyDescent="0.45">
      <c r="A1" s="325">
        <v>0</v>
      </c>
      <c r="B1" s="285" t="s">
        <v>161</v>
      </c>
      <c r="C1" s="326" t="s">
        <v>454</v>
      </c>
      <c r="D1" s="326">
        <v>2011</v>
      </c>
      <c r="E1" s="327"/>
      <c r="F1" s="328" t="s">
        <v>489</v>
      </c>
      <c r="G1" s="328" t="str">
        <f>'Area Data'!G1</f>
        <v>JUL-SEP 2011</v>
      </c>
      <c r="H1" s="328">
        <v>0</v>
      </c>
      <c r="I1" s="328"/>
      <c r="J1" s="329"/>
      <c r="K1" s="330"/>
    </row>
    <row r="2" spans="1:15" s="20" customFormat="1" ht="31.5" x14ac:dyDescent="0.5">
      <c r="A2" s="331"/>
      <c r="B2" s="547" t="s">
        <v>78</v>
      </c>
      <c r="C2" s="547"/>
      <c r="D2" s="547"/>
      <c r="E2" s="332"/>
      <c r="F2" s="548" t="s">
        <v>77</v>
      </c>
      <c r="G2" s="548"/>
      <c r="H2" s="548"/>
      <c r="I2" s="548"/>
      <c r="J2" s="548"/>
      <c r="K2" s="548"/>
      <c r="L2" s="109"/>
    </row>
    <row r="3" spans="1:15" x14ac:dyDescent="0.3">
      <c r="A3" s="286"/>
      <c r="B3" s="277" t="s">
        <v>97</v>
      </c>
      <c r="C3" s="333"/>
      <c r="D3" s="334"/>
      <c r="E3" s="332"/>
      <c r="F3" s="112" t="s">
        <v>445</v>
      </c>
      <c r="G3" s="112" t="s">
        <v>29</v>
      </c>
      <c r="H3" s="112" t="s">
        <v>33</v>
      </c>
      <c r="I3" s="112" t="s">
        <v>56</v>
      </c>
      <c r="J3" s="112" t="s">
        <v>114</v>
      </c>
      <c r="K3" s="335"/>
      <c r="L3" s="3"/>
      <c r="M3" s="3"/>
      <c r="N3" s="3"/>
      <c r="O3" s="3"/>
    </row>
    <row r="4" spans="1:15" ht="27" x14ac:dyDescent="0.3">
      <c r="A4" s="286"/>
      <c r="B4" s="253" t="s">
        <v>8</v>
      </c>
      <c r="C4" s="253" t="s">
        <v>397</v>
      </c>
      <c r="D4" s="253" t="s">
        <v>236</v>
      </c>
      <c r="E4" s="336"/>
      <c r="F4" s="111" t="s">
        <v>30</v>
      </c>
      <c r="G4" s="144">
        <f>VLOOKUP($A$1,'Common Measures'!$A$3:$K$15,3,)</f>
        <v>170461</v>
      </c>
      <c r="H4" s="144">
        <f>VLOOKUP($A$1,'Common Measures'!$A$3:$K$15,4,)</f>
        <v>330012</v>
      </c>
      <c r="I4" s="337">
        <f>VLOOKUP($A$1,'Common Measures'!$A$3:$K$15,5,)</f>
        <v>0.52</v>
      </c>
      <c r="J4" s="338">
        <f>'Common Measures'!C16</f>
        <v>0.5</v>
      </c>
      <c r="K4" s="335"/>
      <c r="L4" s="3"/>
      <c r="M4" s="3"/>
      <c r="N4" s="3"/>
      <c r="O4" s="3"/>
    </row>
    <row r="5" spans="1:15" x14ac:dyDescent="0.3">
      <c r="A5" s="286"/>
      <c r="B5" s="124" t="s">
        <v>8</v>
      </c>
      <c r="C5" s="130">
        <f>GETPIVOTDATA("Sum of 1COUNT ALL_CountOfSOCIALSECURITYNUMBER",'State PivotTables'!$A$2)</f>
        <v>183307</v>
      </c>
      <c r="D5" s="125"/>
      <c r="E5" s="336"/>
      <c r="F5" s="111" t="s">
        <v>11</v>
      </c>
      <c r="G5" s="144">
        <f>VLOOKUP('State Data'!A1,'Common Measures'!$A$19:$AK$31,2,)</f>
        <v>2041</v>
      </c>
      <c r="H5" s="144">
        <f>VLOOKUP('State Data'!A1,'Common Measures'!$A$19:$AK$31,3,)</f>
        <v>2661</v>
      </c>
      <c r="I5" s="338">
        <f>VLOOKUP('State Data'!A1,'Common Measures'!$A$19:$AK$31,4,)</f>
        <v>0.76700488538143552</v>
      </c>
      <c r="J5" s="338">
        <f>VLOOKUP('State Data'!A1,'Common Measures'!$A$19:$AK$31,5,)</f>
        <v>0.752</v>
      </c>
      <c r="K5" s="335"/>
      <c r="L5" s="3"/>
      <c r="M5" s="3"/>
      <c r="N5" s="3"/>
      <c r="O5" s="3"/>
    </row>
    <row r="6" spans="1:15" ht="22.5" customHeight="1" x14ac:dyDescent="0.3">
      <c r="A6" s="286"/>
      <c r="B6" s="126" t="s">
        <v>102</v>
      </c>
      <c r="C6" s="130">
        <f>GETPIVOTDATA("Sum of 1CountOfStaffAssistedCustomers_CountOfSEEKERID",'State PivotTables'!$A$2)</f>
        <v>116671</v>
      </c>
      <c r="D6" s="125">
        <f>C6/C5</f>
        <v>0.63647869421244141</v>
      </c>
      <c r="E6" s="336"/>
      <c r="F6" s="111" t="s">
        <v>31</v>
      </c>
      <c r="G6" s="144">
        <f>VLOOKUP('State Data'!A1,'Common Measures'!$A$19:$AK$31,14,)</f>
        <v>2777</v>
      </c>
      <c r="H6" s="144">
        <f>VLOOKUP('State Data'!A1,'Common Measures'!$A$19:$AK$31,15,)</f>
        <v>3344</v>
      </c>
      <c r="I6" s="338">
        <f>VLOOKUP('State Data'!A1,'Common Measures'!$A$19:$AK$31,16,)</f>
        <v>0.83044258373205737</v>
      </c>
      <c r="J6" s="338">
        <f>VLOOKUP('State Data'!A1,'Common Measures'!$A$19:$AK$31,17,)</f>
        <v>0.73599999999999999</v>
      </c>
      <c r="K6" s="335"/>
      <c r="L6" s="3"/>
      <c r="M6" s="3"/>
      <c r="N6" s="3"/>
      <c r="O6" s="3"/>
    </row>
    <row r="7" spans="1:15" x14ac:dyDescent="0.3">
      <c r="A7" s="286"/>
      <c r="B7" s="126" t="s">
        <v>52</v>
      </c>
      <c r="C7" s="130">
        <f>GETPIVOTDATA("Sum of 1Count of Self-Service ONLY_CountOfSOCIALSECURITYNUMBER",'State PivotTables'!$A$2)</f>
        <v>64014</v>
      </c>
      <c r="D7" s="125">
        <f>C7/C5</f>
        <v>0.34921743304947439</v>
      </c>
      <c r="E7" s="336"/>
      <c r="F7" s="142" t="s">
        <v>2</v>
      </c>
      <c r="G7" s="142" t="s">
        <v>32</v>
      </c>
      <c r="H7" s="142" t="s">
        <v>33</v>
      </c>
      <c r="I7" s="142" t="s">
        <v>161</v>
      </c>
      <c r="J7" s="142" t="s">
        <v>114</v>
      </c>
      <c r="K7" s="335"/>
      <c r="L7" s="3"/>
      <c r="M7" s="3"/>
      <c r="N7" s="3"/>
      <c r="O7" s="3"/>
    </row>
    <row r="8" spans="1:15" ht="27.75" customHeight="1" x14ac:dyDescent="0.3">
      <c r="A8" s="286"/>
      <c r="B8" s="126" t="s">
        <v>53</v>
      </c>
      <c r="C8" s="130">
        <f>GETPIVOTDATA("Sum of 1CountOfCoreOnly_CountOfSEEKERID",'State PivotTables'!$A$2)</f>
        <v>102821</v>
      </c>
      <c r="D8" s="125">
        <f>C8/$C$6</f>
        <v>0.88129012350969826</v>
      </c>
      <c r="E8" s="336"/>
      <c r="F8" s="111" t="s">
        <v>30</v>
      </c>
      <c r="G8" s="144">
        <f>VLOOKUP($A$1,'Common Measures'!$A$3:$K$15,6,)</f>
        <v>207450</v>
      </c>
      <c r="H8" s="144">
        <f>VLOOKUP($A$1,'Common Measures'!$A$3:$K$15,7,)</f>
        <v>264497</v>
      </c>
      <c r="I8" s="337">
        <f>VLOOKUP($A$1,'Common Measures'!$A$3:$K$15,8,)</f>
        <v>0.78</v>
      </c>
      <c r="J8" s="338">
        <f>'Common Measures'!E16</f>
        <v>0.76600000000000001</v>
      </c>
      <c r="K8" s="335"/>
      <c r="L8" s="66"/>
      <c r="M8" s="3"/>
      <c r="N8" s="3"/>
      <c r="O8" s="3"/>
    </row>
    <row r="9" spans="1:15" ht="21.75" customHeight="1" x14ac:dyDescent="0.3">
      <c r="A9" s="286"/>
      <c r="B9" s="126" t="s">
        <v>50</v>
      </c>
      <c r="C9" s="130">
        <f>GETPIVOTDATA("Sum of 1CountOfCoreIntensiveOnly_CountOfSEEKERID",'State PivotTables'!$A$2)</f>
        <v>10921</v>
      </c>
      <c r="D9" s="125">
        <f>C9/$C$6</f>
        <v>9.3605094667912336E-2</v>
      </c>
      <c r="E9" s="336"/>
      <c r="F9" s="111" t="s">
        <v>11</v>
      </c>
      <c r="G9" s="144">
        <f>VLOOKUP('State Data'!A1,'Common Measures'!$A$19:$AK$31,6,)</f>
        <v>1962</v>
      </c>
      <c r="H9" s="144">
        <f>VLOOKUP('State Data'!A1,'Common Measures'!$A$19:$AK$31,7,)</f>
        <v>2297</v>
      </c>
      <c r="I9" s="338">
        <f>VLOOKUP('State Data'!A1,'Common Measures'!$A$19:$AK$31,8,)</f>
        <v>0.85415759686547665</v>
      </c>
      <c r="J9" s="338">
        <f>VLOOKUP('State Data'!A1,'Common Measures'!$A$19:$AK$31,9,)</f>
        <v>0.81</v>
      </c>
      <c r="K9" s="335"/>
      <c r="L9" s="3"/>
      <c r="M9" s="3"/>
      <c r="N9" s="3"/>
      <c r="O9" s="3"/>
    </row>
    <row r="10" spans="1:15" ht="30" customHeight="1" x14ac:dyDescent="0.3">
      <c r="A10" s="286"/>
      <c r="B10" s="126" t="s">
        <v>103</v>
      </c>
      <c r="C10" s="130">
        <f>GETPIVOTDATA("Sum of 1CountTrainingNew_CountOfSEEKERID",'State PivotTables'!$A$2)</f>
        <v>2932</v>
      </c>
      <c r="D10" s="125">
        <f>C10/$C$6</f>
        <v>2.5130495153037172E-2</v>
      </c>
      <c r="E10" s="336"/>
      <c r="F10" s="111" t="s">
        <v>31</v>
      </c>
      <c r="G10" s="144">
        <f>VLOOKUP('State Data'!A1,'Common Measures'!$A$19:$AK$31,18,)</f>
        <v>2343</v>
      </c>
      <c r="H10" s="144">
        <f>VLOOKUP('State Data'!A1,'Common Measures'!$A$19:$AK$31,19,)</f>
        <v>2629</v>
      </c>
      <c r="I10" s="338">
        <f>VLOOKUP('State Data'!A1,'Common Measures'!$A$19:$AK$31,20,)</f>
        <v>0.89121338912133896</v>
      </c>
      <c r="J10" s="338">
        <f>VLOOKUP('State Data'!A1,'Common Measures'!$A$19:$AK$31,21,)</f>
        <v>0.83899999999999997</v>
      </c>
      <c r="K10" s="335"/>
      <c r="L10" s="3"/>
      <c r="M10" s="3"/>
      <c r="N10" s="3"/>
      <c r="O10" s="3"/>
    </row>
    <row r="11" spans="1:15" ht="24.75" customHeight="1" x14ac:dyDescent="0.3">
      <c r="A11" s="286"/>
      <c r="B11" s="126" t="s">
        <v>104</v>
      </c>
      <c r="C11" s="130">
        <f>GETPIVOTDATA("Sum of 1CountTrainingOngoing_CountOfSEEKER_ID",'State PivotTables'!$A$2)</f>
        <v>8120</v>
      </c>
      <c r="D11" s="125">
        <f>C11/$C$6</f>
        <v>6.9597414953158881E-2</v>
      </c>
      <c r="E11" s="336"/>
      <c r="F11" s="142" t="s">
        <v>3</v>
      </c>
      <c r="G11" s="142" t="s">
        <v>34</v>
      </c>
      <c r="H11" s="142" t="s">
        <v>33</v>
      </c>
      <c r="I11" s="142" t="s">
        <v>161</v>
      </c>
      <c r="J11" s="142" t="s">
        <v>114</v>
      </c>
      <c r="K11" s="335"/>
      <c r="L11" s="3"/>
      <c r="M11" s="3"/>
      <c r="N11" s="3"/>
      <c r="O11" s="3"/>
    </row>
    <row r="12" spans="1:15" ht="31.5" customHeight="1" x14ac:dyDescent="0.3">
      <c r="A12" s="286"/>
      <c r="B12" s="127" t="s">
        <v>37</v>
      </c>
      <c r="C12" s="143">
        <f>GETPIVOTDATA("Sum of 1CountTrainingCompletion_CountOfSEEKER_ID",'State PivotTables'!$A$2)</f>
        <v>2471</v>
      </c>
      <c r="D12" s="125">
        <f>C12/$C$6</f>
        <v>2.1179213343504383E-2</v>
      </c>
      <c r="E12" s="336"/>
      <c r="F12" s="111" t="s">
        <v>30</v>
      </c>
      <c r="G12" s="339">
        <f>VLOOKUP($A$1,'Common Measures'!$A$3:$K$15,9,)</f>
        <v>2943748234</v>
      </c>
      <c r="H12" s="340">
        <f>VLOOKUP($A$1,'Common Measures'!$A$3:$K$15,10,)</f>
        <v>205582</v>
      </c>
      <c r="I12" s="341">
        <f>VLOOKUP($A$1,'Common Measures'!$A$3:$K$15,11,)</f>
        <v>14319</v>
      </c>
      <c r="J12" s="342">
        <f>'Common Measures'!G16</f>
        <v>13500</v>
      </c>
      <c r="K12" s="335"/>
      <c r="L12" s="3"/>
      <c r="M12" s="3"/>
      <c r="N12" s="3"/>
      <c r="O12" s="3"/>
    </row>
    <row r="13" spans="1:15" ht="27" x14ac:dyDescent="0.3">
      <c r="A13" s="286"/>
      <c r="B13" s="390" t="s">
        <v>98</v>
      </c>
      <c r="C13" s="145" t="s">
        <v>396</v>
      </c>
      <c r="D13" s="253" t="s">
        <v>236</v>
      </c>
      <c r="E13" s="336"/>
      <c r="F13" s="111" t="s">
        <v>11</v>
      </c>
      <c r="G13" s="144">
        <f>VLOOKUP('State Data'!A1,'Common Measures'!$A$19:$AK$31,10,)</f>
        <v>25170096</v>
      </c>
      <c r="H13" s="144">
        <f>VLOOKUP('State Data'!A1,'Common Measures'!$A$19:$AK$31,11,)</f>
        <v>1944</v>
      </c>
      <c r="I13" s="342">
        <f>VLOOKUP('State Data'!A1,'Common Measures'!$A$19:$AK$31,12,)</f>
        <v>12947.58024691358</v>
      </c>
      <c r="J13" s="342">
        <f>VLOOKUP('State Data'!A1,'Common Measures'!$A$19:$AK$31,13,)</f>
        <v>9456</v>
      </c>
      <c r="K13" s="335"/>
      <c r="L13" s="3"/>
      <c r="M13" s="3"/>
      <c r="N13" s="3"/>
      <c r="O13" s="3"/>
    </row>
    <row r="14" spans="1:15" ht="28.5" customHeight="1" x14ac:dyDescent="0.3">
      <c r="A14" s="286"/>
      <c r="B14" s="111" t="s">
        <v>391</v>
      </c>
      <c r="C14" s="144">
        <f>GETPIVOTDATA("Sum of MgtInd #5 count state_CountOfSEEKERID",'State PivotTables'!$A$6)</f>
        <v>88019</v>
      </c>
      <c r="D14" s="123">
        <f>C14/$C$6</f>
        <v>0.75442055009385367</v>
      </c>
      <c r="E14" s="336"/>
      <c r="F14" s="111" t="s">
        <v>31</v>
      </c>
      <c r="G14" s="144">
        <f>VLOOKUP('State Data'!A1,'Common Measures'!$A$19:$AK$31,22,)</f>
        <v>44669652</v>
      </c>
      <c r="H14" s="144">
        <f>VLOOKUP('State Data'!A1,'Common Measures'!$A$19:$AK$31,23,)</f>
        <v>2312</v>
      </c>
      <c r="I14" s="342">
        <f>VLOOKUP('State Data'!A1,'Common Measures'!$A$19:$AK$31,24,)</f>
        <v>19320.783737024223</v>
      </c>
      <c r="J14" s="342">
        <f>VLOOKUP('State Data'!A1,'Common Measures'!$A$19:$AK$31,25,)</f>
        <v>14043</v>
      </c>
      <c r="K14" s="335"/>
      <c r="L14" s="3"/>
      <c r="M14" s="115"/>
      <c r="N14" s="115"/>
      <c r="O14" s="115"/>
    </row>
    <row r="15" spans="1:15" ht="40.5" customHeight="1" x14ac:dyDescent="0.3">
      <c r="A15" s="286"/>
      <c r="B15" s="128" t="s">
        <v>54</v>
      </c>
      <c r="C15" s="130">
        <f>GETPIVOTDATA("Sum of MgtInd #2 count state_CountOfSEEKERID",'State PivotTables'!$A$6)</f>
        <v>52155</v>
      </c>
      <c r="D15" s="123">
        <f>C15/$C$6</f>
        <v>0.44702625331059131</v>
      </c>
      <c r="E15" s="336"/>
      <c r="F15" s="142" t="s">
        <v>4</v>
      </c>
      <c r="G15" s="142" t="s">
        <v>39</v>
      </c>
      <c r="H15" s="142" t="s">
        <v>33</v>
      </c>
      <c r="I15" s="142" t="s">
        <v>161</v>
      </c>
      <c r="J15" s="142" t="s">
        <v>114</v>
      </c>
      <c r="K15" s="335"/>
      <c r="L15" s="3"/>
      <c r="M15" s="3"/>
      <c r="N15" s="3"/>
      <c r="O15" s="3"/>
    </row>
    <row r="16" spans="1:15" ht="36" customHeight="1" x14ac:dyDescent="0.3">
      <c r="A16" s="286"/>
      <c r="B16" s="129" t="s">
        <v>12</v>
      </c>
      <c r="C16" s="144">
        <f>GETPIVOTDATA("Sum of MgtInd #3 count state_CountOfSEEKERID",'State PivotTables'!$A$6)</f>
        <v>6773</v>
      </c>
      <c r="D16" s="123">
        <f>C16/$C$6</f>
        <v>5.805212949233314E-2</v>
      </c>
      <c r="E16" s="336"/>
      <c r="F16" s="111" t="s">
        <v>5</v>
      </c>
      <c r="G16" s="144">
        <f>VLOOKUP('State Data'!A1,'Common Measures'!$A$19:$AK$31,26,)</f>
        <v>1241</v>
      </c>
      <c r="H16" s="144">
        <f>VLOOKUP('State Data'!A1,'Common Measures'!$A$19:$AK$31,27,)</f>
        <v>1621</v>
      </c>
      <c r="I16" s="338">
        <f>VLOOKUP('State Data'!A1,'Common Measures'!$A$19:$AK$31,28,)</f>
        <v>0.76557680444170262</v>
      </c>
      <c r="J16" s="338">
        <f>VLOOKUP('State Data'!A1,'Common Measures'!$A$19:$AK$31,29,)</f>
        <v>0.753</v>
      </c>
      <c r="K16" s="335"/>
      <c r="L16" s="3"/>
      <c r="M16" s="3"/>
      <c r="N16" s="3"/>
      <c r="O16" s="3"/>
    </row>
    <row r="17" spans="1:20" x14ac:dyDescent="0.3">
      <c r="A17" s="286"/>
      <c r="B17" s="126" t="s">
        <v>55</v>
      </c>
      <c r="C17" s="130">
        <f>GETPIVOTDATA("Sum of MgtInd #6 count state_CountOfSEEKERID",'State PivotTables'!$A$6)</f>
        <v>4302</v>
      </c>
      <c r="D17" s="123">
        <f>C17/$C$6</f>
        <v>3.687291614882876E-2</v>
      </c>
      <c r="E17" s="336"/>
      <c r="F17" s="111" t="s">
        <v>6</v>
      </c>
      <c r="G17" s="144">
        <f>VLOOKUP('State Data'!A1,'Common Measures'!$A$19:$AK$31,30,)</f>
        <v>408</v>
      </c>
      <c r="H17" s="144">
        <f>VLOOKUP('State Data'!A1,'Common Measures'!$A$19:$AK$31,31,)</f>
        <v>751</v>
      </c>
      <c r="I17" s="338">
        <f>VLOOKUP('State Data'!A1,'Common Measures'!$A$19:$AK$31,32,)</f>
        <v>0.54327563249001332</v>
      </c>
      <c r="J17" s="338">
        <f>VLOOKUP('State Data'!A1,'Common Measures'!$A$19:$AK$31,33,)</f>
        <v>0.44</v>
      </c>
      <c r="K17" s="335"/>
      <c r="L17" s="3"/>
      <c r="M17" s="3"/>
      <c r="N17" s="3"/>
      <c r="O17" s="3"/>
    </row>
    <row r="18" spans="1:20" x14ac:dyDescent="0.3">
      <c r="A18" s="286"/>
      <c r="B18" s="145" t="s">
        <v>18</v>
      </c>
      <c r="C18" s="145" t="s">
        <v>396</v>
      </c>
      <c r="D18" s="145" t="s">
        <v>106</v>
      </c>
      <c r="E18" s="336"/>
      <c r="F18" s="111" t="s">
        <v>7</v>
      </c>
      <c r="G18" s="144">
        <f>VLOOKUP('State Data'!A1,'Common Measures'!$A$19:$AK$31,34,)</f>
        <v>1241</v>
      </c>
      <c r="H18" s="144">
        <f>VLOOKUP('State Data'!A1,'Common Measures'!$A$19:$AK$31,35,)</f>
        <v>1861</v>
      </c>
      <c r="I18" s="338">
        <f>VLOOKUP('State Data'!A1,'Common Measures'!$A$19:$AK$31,36,)</f>
        <v>0.6668457818377217</v>
      </c>
      <c r="J18" s="338">
        <f>VLOOKUP('State Data'!A1,'Common Measures'!$A$19:$AK$31,37,)</f>
        <v>0.53900000000000003</v>
      </c>
      <c r="K18" s="335"/>
      <c r="L18" s="3"/>
      <c r="M18" s="66"/>
      <c r="N18" s="80"/>
      <c r="O18" s="3"/>
    </row>
    <row r="19" spans="1:20" x14ac:dyDescent="0.3">
      <c r="A19" s="289"/>
      <c r="B19" s="126" t="s">
        <v>18</v>
      </c>
      <c r="C19" s="130">
        <f>GETPIVOTDATA("Sum of currentprogram",'State PivotTables'!$A$11)</f>
        <v>19141</v>
      </c>
      <c r="D19" s="130">
        <f>GETPIVOTDATA("Sum of program1yearago",'State PivotTables'!$A$11)</f>
        <v>21898</v>
      </c>
      <c r="E19" s="336"/>
      <c r="F19" s="146"/>
      <c r="G19" s="146"/>
      <c r="H19" s="147"/>
      <c r="I19" s="147"/>
      <c r="J19" s="147"/>
      <c r="K19" s="335"/>
      <c r="L19" s="3"/>
      <c r="M19" s="66"/>
      <c r="N19" s="66"/>
      <c r="O19" s="3"/>
    </row>
    <row r="20" spans="1:20" x14ac:dyDescent="0.3">
      <c r="A20" s="286"/>
      <c r="B20" s="126" t="s">
        <v>15</v>
      </c>
      <c r="C20" s="197">
        <f>GETPIVOTDATA("Sum of wiacurrent",'State PivotTables'!$A$11)</f>
        <v>9854</v>
      </c>
      <c r="D20" s="130">
        <f>GETPIVOTDATA("Sum of wia1yearago",'State PivotTables'!$A$11)</f>
        <v>12379</v>
      </c>
      <c r="E20" s="336"/>
      <c r="F20" s="142" t="s">
        <v>40</v>
      </c>
      <c r="G20" s="189" t="str">
        <f>VLOOKUP($F$1,Lists!$A$16:$H$44,5,)</f>
        <v>PY09 Q3</v>
      </c>
      <c r="H20" s="189" t="str">
        <f>VLOOKUP($F$1,Lists!$A$16:$H$44,6,)</f>
        <v>PY09 Q4</v>
      </c>
      <c r="I20" s="189" t="str">
        <f>VLOOKUP($F$1,Lists!$A$16:$H$44,7,)</f>
        <v>PY10 Q1</v>
      </c>
      <c r="J20" s="189" t="str">
        <f>VLOOKUP($F$1,Lists!$A$16:$H$44,8,)</f>
        <v>PY10 Q2</v>
      </c>
      <c r="K20" s="335"/>
    </row>
    <row r="21" spans="1:20" s="2" customFormat="1" ht="29.25" customHeight="1" x14ac:dyDescent="0.3">
      <c r="A21" s="286"/>
      <c r="B21" s="126" t="s">
        <v>19</v>
      </c>
      <c r="C21" s="130">
        <f>GETPIVOTDATA("Sum of wianewcurrent",'State PivotTables'!$A$11)</f>
        <v>1459</v>
      </c>
      <c r="D21" s="130">
        <f>GETPIVOTDATA("Sum of wianew1yearago",'State PivotTables'!$A$11)</f>
        <v>1950</v>
      </c>
      <c r="E21" s="336"/>
      <c r="F21" s="243" t="s">
        <v>475</v>
      </c>
      <c r="G21" s="297">
        <f>GETPIVOTDATA("Area Employed",DBPivot!$A$3,"WDA",$A$1,"PYQ",G$20)</f>
        <v>3144263</v>
      </c>
      <c r="H21" s="297">
        <f>GETPIVOTDATA("Area Employed",DBPivot!$A$3,"WDA",$A$1,"PYQ",H$20)</f>
        <v>3203803</v>
      </c>
      <c r="I21" s="297">
        <f>GETPIVOTDATA("Area Employed",DBPivot!$A$3,"WDA",$A$1,"PYQ",I$20)</f>
        <v>3214420</v>
      </c>
      <c r="J21" s="297">
        <f>GETPIVOTDATA("Area Employed",DBPivot!$A$3,"WDA",$A$1,"PYQ",J$20)</f>
        <v>3205983</v>
      </c>
      <c r="K21" s="335"/>
    </row>
    <row r="22" spans="1:20" x14ac:dyDescent="0.3">
      <c r="A22" s="286"/>
      <c r="B22" s="92" t="s">
        <v>20</v>
      </c>
      <c r="C22" s="130">
        <f>GETPIVOTDATA("Sum of wiaexitcurrent",'State PivotTables'!$A$11)</f>
        <v>1846</v>
      </c>
      <c r="D22" s="130">
        <f>GETPIVOTDATA("Sum of wiaexit1yearago",'State PivotTables'!$A$11)</f>
        <v>2653</v>
      </c>
      <c r="E22" s="336"/>
      <c r="F22" s="243" t="s">
        <v>202</v>
      </c>
      <c r="G22" s="297">
        <f>GETPIVOTDATA("Area Unemployed",DBPivot!$A$3,"WDA",$A$1,"PYQ",G$20)</f>
        <v>380777</v>
      </c>
      <c r="H22" s="297">
        <f>GETPIVOTDATA("Area Unemployed",DBPivot!$A$3,"WDA",$A$1,"PYQ",H$20)</f>
        <v>334053</v>
      </c>
      <c r="I22" s="297">
        <f>GETPIVOTDATA("Area Unemployed",DBPivot!$A$3,"WDA",$A$1,"PYQ",I$20)</f>
        <v>321697</v>
      </c>
      <c r="J22" s="297">
        <f>GETPIVOTDATA("Area Unemployed",DBPivot!$A$3,"WDA",$A$1,"PYQ",J$20)</f>
        <v>321513</v>
      </c>
      <c r="K22" s="335"/>
      <c r="M22" s="1"/>
    </row>
    <row r="23" spans="1:20" ht="28.5" customHeight="1" x14ac:dyDescent="0.3">
      <c r="A23" s="289"/>
      <c r="B23" s="145" t="s">
        <v>99</v>
      </c>
      <c r="C23" s="145" t="s">
        <v>105</v>
      </c>
      <c r="D23" s="145" t="s">
        <v>106</v>
      </c>
      <c r="E23" s="336"/>
      <c r="F23" s="243" t="s">
        <v>446</v>
      </c>
      <c r="G23" s="297">
        <f>GETPIVOTDATA("Area Labor Force",DBPivot!$A$3,"WDA",$A$1,"PYQ",G$20)</f>
        <v>3532173</v>
      </c>
      <c r="H23" s="297">
        <f>GETPIVOTDATA("Area Labor Force",DBPivot!$A$3,"WDA",$A$1,"PYQ",H$20)</f>
        <v>3539823</v>
      </c>
      <c r="I23" s="297">
        <f>GETPIVOTDATA("Area Labor Force",DBPivot!$A$3,"WDA",$A$1,"PYQ",I$20)</f>
        <v>3548887</v>
      </c>
      <c r="J23" s="297">
        <f>GETPIVOTDATA("Area Labor Force",DBPivot!$A$3,"WDA",$A$1,"PYQ",J$20)</f>
        <v>3516687</v>
      </c>
      <c r="K23" s="335"/>
      <c r="M23" s="1"/>
      <c r="N23" s="1"/>
      <c r="O23" s="1"/>
      <c r="S23" s="15"/>
      <c r="T23" s="17"/>
    </row>
    <row r="24" spans="1:20" ht="24.75" customHeight="1" x14ac:dyDescent="0.35">
      <c r="A24" s="286"/>
      <c r="B24" s="131" t="s">
        <v>9</v>
      </c>
      <c r="C24" s="130">
        <f>GETPIVOTDATA("Sum of 3COUNT OF JOB ORDERS AND JOB OPENINGS_SumOfJOB OPENINGS",'State PivotTables'!$A$16)</f>
        <v>17508</v>
      </c>
      <c r="D24" s="130">
        <f>GETPIVOTDATA("Sum of 3CountOfJobORders1YearAgo_SumOfJOB OPENINGS",'State PivotTables'!$A$16)</f>
        <v>24179</v>
      </c>
      <c r="E24" s="336"/>
      <c r="F24" s="111" t="s">
        <v>41</v>
      </c>
      <c r="G24" s="344">
        <f>G22/G23</f>
        <v>0.10780247739847397</v>
      </c>
      <c r="H24" s="344">
        <f>H22/H23</f>
        <v>9.4369972735924929E-2</v>
      </c>
      <c r="I24" s="344">
        <f>I22/I23</f>
        <v>9.0647293080901137E-2</v>
      </c>
      <c r="J24" s="344">
        <f>J22/J23</f>
        <v>9.1424969012027513E-2</v>
      </c>
      <c r="K24" s="335"/>
      <c r="L24" s="546" t="s">
        <v>384</v>
      </c>
      <c r="M24" s="546"/>
      <c r="N24" s="546"/>
      <c r="O24" s="546"/>
    </row>
    <row r="25" spans="1:20" ht="32.25" x14ac:dyDescent="0.3">
      <c r="A25" s="299"/>
      <c r="B25" s="131" t="s">
        <v>22</v>
      </c>
      <c r="C25" s="130">
        <f>GETPIVOTDATA("Sum of 3CountOfEmployersServed_CountOfEMPLOYER_ID",'State PivotTables'!$A$16)</f>
        <v>7186</v>
      </c>
      <c r="D25" s="130">
        <f>GETPIVOTDATA("Sum of 3CountOfEmployersServed1YearAgo_CountOfEMPLOYER_ID",'State PivotTables'!$A$16)</f>
        <v>8234</v>
      </c>
      <c r="E25" s="336"/>
      <c r="F25" s="142" t="s">
        <v>42</v>
      </c>
      <c r="G25" s="189" t="s">
        <v>25</v>
      </c>
      <c r="H25" s="189" t="s">
        <v>338</v>
      </c>
      <c r="I25" s="189" t="s">
        <v>16</v>
      </c>
      <c r="J25" s="142"/>
      <c r="K25" s="335"/>
      <c r="L25" s="142" t="s">
        <v>42</v>
      </c>
      <c r="M25" s="142" t="s">
        <v>25</v>
      </c>
      <c r="N25" s="142" t="s">
        <v>17</v>
      </c>
      <c r="O25" s="142" t="s">
        <v>16</v>
      </c>
      <c r="S25" s="15"/>
      <c r="T25" s="17"/>
    </row>
    <row r="26" spans="1:20" s="2" customFormat="1" x14ac:dyDescent="0.3">
      <c r="A26" s="299"/>
      <c r="B26" s="145" t="s">
        <v>100</v>
      </c>
      <c r="C26" s="145" t="s">
        <v>105</v>
      </c>
      <c r="D26" s="145" t="s">
        <v>106</v>
      </c>
      <c r="E26" s="336"/>
      <c r="F26" s="345" t="s">
        <v>10</v>
      </c>
      <c r="G26" s="346">
        <f>M26</f>
        <v>6724540</v>
      </c>
      <c r="H26" s="130">
        <f>C6</f>
        <v>116671</v>
      </c>
      <c r="I26" s="214">
        <f>O26</f>
        <v>19036</v>
      </c>
      <c r="J26" s="347"/>
      <c r="K26" s="335"/>
      <c r="L26" s="148" t="s">
        <v>10</v>
      </c>
      <c r="M26" s="149">
        <v>6724540</v>
      </c>
      <c r="N26" s="150">
        <f>GETPIVOTDATA("Sum of EOCountofSeekersServed_CountOfSEEKERID",'State PivotTables'!$A$30)</f>
        <v>370367</v>
      </c>
      <c r="O26" s="151">
        <f>GETPIVOTDATA("Sum of WIA",'State PivotTables'!$A$30)</f>
        <v>19036</v>
      </c>
      <c r="S26" s="16"/>
      <c r="T26" s="16"/>
    </row>
    <row r="27" spans="1:20" x14ac:dyDescent="0.3">
      <c r="A27" s="299"/>
      <c r="B27" s="126" t="s">
        <v>437</v>
      </c>
      <c r="C27" s="125">
        <f>C31/C24</f>
        <v>0.34030157642220699</v>
      </c>
      <c r="D27" s="125">
        <f>D31/D24</f>
        <v>0.28231109640597213</v>
      </c>
      <c r="E27" s="336"/>
      <c r="F27" s="111" t="s">
        <v>13</v>
      </c>
      <c r="G27" s="348">
        <f>M27/$G$26</f>
        <v>0.49813176812094212</v>
      </c>
      <c r="H27" s="349">
        <f>N27/$N$26</f>
        <v>0.57021818898551979</v>
      </c>
      <c r="I27" s="349">
        <f>O27/$O$26</f>
        <v>0.49254044967430133</v>
      </c>
      <c r="J27" s="347"/>
      <c r="K27" s="335"/>
      <c r="L27" s="148" t="s">
        <v>13</v>
      </c>
      <c r="M27" s="149">
        <v>3349707</v>
      </c>
      <c r="N27" s="150">
        <f>N26-N28</f>
        <v>211190</v>
      </c>
      <c r="O27" s="150">
        <f>O26-O28</f>
        <v>9376</v>
      </c>
      <c r="S27" s="15"/>
      <c r="T27" s="17"/>
    </row>
    <row r="28" spans="1:20" ht="30.75" customHeight="1" x14ac:dyDescent="0.3">
      <c r="A28" s="299"/>
      <c r="B28" s="131" t="s">
        <v>260</v>
      </c>
      <c r="C28" s="132">
        <f>C32/C24</f>
        <v>0.45978981037240119</v>
      </c>
      <c r="D28" s="132">
        <f>D32/D24</f>
        <v>0.31068282393812813</v>
      </c>
      <c r="E28" s="336"/>
      <c r="F28" s="111" t="s">
        <v>14</v>
      </c>
      <c r="G28" s="348">
        <f>M28/$G$26</f>
        <v>0.50186823187905794</v>
      </c>
      <c r="H28" s="349">
        <f>N28/$N$26</f>
        <v>0.42978181101448021</v>
      </c>
      <c r="I28" s="349">
        <f>O28/$O$26</f>
        <v>0.50745955032569867</v>
      </c>
      <c r="J28" s="347"/>
      <c r="K28" s="335"/>
      <c r="L28" s="215" t="s">
        <v>14</v>
      </c>
      <c r="M28" s="216">
        <v>3374833</v>
      </c>
      <c r="N28" s="150">
        <f>GETPIVOTDATA("Sum of EOGenderCount_CountOfSEEKERID",'State PivotTables'!$A$30)</f>
        <v>159177</v>
      </c>
      <c r="O28" s="150">
        <f>GETPIVOTDATA("Sum of wiagender",'State PivotTables'!$A$30)</f>
        <v>9660</v>
      </c>
      <c r="S28" s="15"/>
    </row>
    <row r="29" spans="1:20" ht="20.25" customHeight="1" x14ac:dyDescent="0.3">
      <c r="A29" s="299"/>
      <c r="B29" s="131" t="s">
        <v>478</v>
      </c>
      <c r="C29" s="393">
        <f>'Area Pivot Tables'!B215</f>
        <v>12.757624882514239</v>
      </c>
      <c r="D29" s="393">
        <f>'Area Pivot Tables'!E215</f>
        <v>13.219881678574541</v>
      </c>
      <c r="E29" s="336"/>
      <c r="F29" s="111" t="s">
        <v>500</v>
      </c>
      <c r="G29" s="348">
        <f>M29/$G$26</f>
        <v>0.22725390881755481</v>
      </c>
      <c r="H29" s="349">
        <f>N29/$N$26</f>
        <v>0.30470857284801289</v>
      </c>
      <c r="I29" s="349">
        <f>O29/$O$26</f>
        <v>0.26786089514603906</v>
      </c>
      <c r="J29" s="347"/>
      <c r="K29" s="335"/>
      <c r="L29" s="217" t="s">
        <v>500</v>
      </c>
      <c r="M29" s="218">
        <v>1528178</v>
      </c>
      <c r="N29" s="150">
        <f>GETPIVOTDATA("Sum of EORaceCount_CountOfSEEKERID",'State PivotTables'!$A$30)</f>
        <v>112854</v>
      </c>
      <c r="O29" s="150">
        <f>GETPIVOTDATA("Sum of wiarace",'State PivotTables'!$A$30)</f>
        <v>5099</v>
      </c>
      <c r="S29" s="15"/>
      <c r="T29" s="15"/>
    </row>
    <row r="30" spans="1:20" x14ac:dyDescent="0.3">
      <c r="A30" s="299"/>
      <c r="B30" s="131" t="s">
        <v>368</v>
      </c>
      <c r="C30" s="393">
        <f>GETPIVOTDATA("Sum of AvgOfMINIMUM_SALARY",'State PivotTables'!$A$21)</f>
        <v>9</v>
      </c>
      <c r="D30" s="393">
        <f>GETPIVOTDATA("Sum of AvgOfMINIMUM_SALARY",'State PivotTables'!$A$35)</f>
        <v>9</v>
      </c>
      <c r="E30" s="336"/>
      <c r="F30" s="111" t="s">
        <v>21</v>
      </c>
      <c r="G30" s="348">
        <f>M30/$G$26</f>
        <v>0.13163249828241039</v>
      </c>
      <c r="H30" s="349">
        <f>N30/$N$26</f>
        <v>0.15799733777577377</v>
      </c>
      <c r="I30" s="349">
        <f>O30/$O$26</f>
        <v>0.14777264131119983</v>
      </c>
      <c r="J30" s="350"/>
      <c r="K30" s="335"/>
      <c r="L30" s="215" t="s">
        <v>21</v>
      </c>
      <c r="M30" s="216">
        <v>885168</v>
      </c>
      <c r="N30" s="219">
        <f>GETPIVOTDATA("Sum of EOAgeCount_CountOfSEEKERID",'State PivotTables'!$A$30)</f>
        <v>58517</v>
      </c>
      <c r="O30" s="219">
        <f>GETPIVOTDATA("Sum of wiaage",'State PivotTables'!$A$30)</f>
        <v>2813</v>
      </c>
      <c r="R30" s="2"/>
      <c r="S30" s="15"/>
      <c r="T30" s="15"/>
    </row>
    <row r="31" spans="1:20" x14ac:dyDescent="0.3">
      <c r="A31" s="299"/>
      <c r="B31" s="126" t="s">
        <v>436</v>
      </c>
      <c r="C31" s="130">
        <f>GETPIVOTDATA("Sum of top5",'State PivotTables'!$A$21)</f>
        <v>5958</v>
      </c>
      <c r="D31" s="130">
        <f>GETPIVOTDATA("Sum of SumOfSumOfJobOpenings",'State PivotTables'!$A$35)</f>
        <v>6826</v>
      </c>
      <c r="E31" s="336"/>
      <c r="F31" s="111" t="s">
        <v>26</v>
      </c>
      <c r="G31" s="348">
        <f>M31/$G$26</f>
        <v>0.11999988103275466</v>
      </c>
      <c r="H31" s="349">
        <f>N31/$N$26</f>
        <v>4.2420086022782806E-2</v>
      </c>
      <c r="I31" s="349">
        <f>O31/$O$26</f>
        <v>7.4280310989703724E-2</v>
      </c>
      <c r="J31" s="350"/>
      <c r="K31" s="335"/>
      <c r="L31" s="148" t="s">
        <v>26</v>
      </c>
      <c r="M31" s="149">
        <v>806944</v>
      </c>
      <c r="N31" s="149">
        <f>GETPIVOTDATA("Sum of EODisabilityCount_CountOfSEEKERID",'State PivotTables'!$A$30)</f>
        <v>15711</v>
      </c>
      <c r="O31" s="149">
        <f>GETPIVOTDATA("Sum of wiadisability",'State PivotTables'!$A$30)</f>
        <v>1414</v>
      </c>
      <c r="S31" s="15"/>
      <c r="T31" s="15"/>
    </row>
    <row r="32" spans="1:20" x14ac:dyDescent="0.3">
      <c r="A32" s="299"/>
      <c r="B32" s="131" t="s">
        <v>57</v>
      </c>
      <c r="C32" s="130">
        <f>GETPIVOTDATA("Sum of CountOfPLACEMENT_ID",'State PivotTables'!$A$21)</f>
        <v>8050</v>
      </c>
      <c r="D32" s="130">
        <f>GETPIVOTDATA("Sum of CountOfPLACEMENT_ID",'State PivotTables'!$A$35)</f>
        <v>7512</v>
      </c>
      <c r="E32" s="336"/>
      <c r="F32" s="111" t="s">
        <v>337</v>
      </c>
      <c r="G32" s="343">
        <f>M34</f>
        <v>4445351</v>
      </c>
      <c r="H32" s="351">
        <f>N34</f>
        <v>320899</v>
      </c>
      <c r="I32" s="351">
        <f>O34</f>
        <v>13237</v>
      </c>
      <c r="J32" s="352"/>
      <c r="K32" s="335"/>
      <c r="L32" s="148" t="s">
        <v>435</v>
      </c>
      <c r="M32" s="149">
        <v>3987479</v>
      </c>
      <c r="N32" s="220">
        <f>GETPIVOTDATA("Sum of HSCount_CountOfSEEKERID",'State PivotTables'!$A$30)</f>
        <v>278341</v>
      </c>
      <c r="O32" s="220">
        <f>GETPIVOTDATA("Sum of EOWIAHSCount_CountOfSEEKER_ID",'State PivotTables'!$A$30)</f>
        <v>12503</v>
      </c>
    </row>
    <row r="33" spans="1:15" x14ac:dyDescent="0.3">
      <c r="A33" s="299"/>
      <c r="B33" s="131"/>
      <c r="C33" s="353"/>
      <c r="D33" s="392"/>
      <c r="E33" s="336"/>
      <c r="F33" s="354" t="s">
        <v>434</v>
      </c>
      <c r="G33" s="355">
        <f>M32/M34</f>
        <v>0.89699980946386459</v>
      </c>
      <c r="H33" s="356">
        <f>N32/N34</f>
        <v>0.86737883259218629</v>
      </c>
      <c r="I33" s="356">
        <f>O32/O34</f>
        <v>0.94454936919241517</v>
      </c>
      <c r="J33" s="350"/>
      <c r="K33" s="335"/>
      <c r="L33" s="148" t="s">
        <v>24</v>
      </c>
      <c r="M33" s="149">
        <v>1378058</v>
      </c>
      <c r="N33" s="149">
        <f>GETPIVOTDATA("Sum of CollegeCount_CountOfSEEKERID",'State PivotTables'!$A$30)</f>
        <v>113661</v>
      </c>
      <c r="O33" s="149">
        <f>GETPIVOTDATA("Sum of EOWIACollegeCount_CountOfSEEKER_ID",'State PivotTables'!$A$30)</f>
        <v>2207</v>
      </c>
    </row>
    <row r="34" spans="1:15" x14ac:dyDescent="0.3">
      <c r="A34" s="299"/>
      <c r="B34" s="549" t="s">
        <v>101</v>
      </c>
      <c r="C34" s="549"/>
      <c r="D34" s="549"/>
      <c r="E34" s="336"/>
      <c r="F34" s="354" t="s">
        <v>325</v>
      </c>
      <c r="G34" s="355">
        <f>M33/M34</f>
        <v>0.30999981778716684</v>
      </c>
      <c r="H34" s="356">
        <f>N33/N34</f>
        <v>0.35419555685745358</v>
      </c>
      <c r="I34" s="356">
        <f>O33/O34</f>
        <v>0.16672962151544912</v>
      </c>
      <c r="J34" s="350"/>
      <c r="K34" s="335"/>
      <c r="L34" s="148" t="s">
        <v>255</v>
      </c>
      <c r="M34" s="149">
        <v>4445351</v>
      </c>
      <c r="N34" s="134">
        <f>GETPIVOTDATA("Sum of Over25Count_CountOfSEEKERID",'State PivotTables'!$A$30)</f>
        <v>320899</v>
      </c>
      <c r="O34" s="134">
        <f>GETPIVOTDATA("Sum of EOWIA&gt;25Count_CountOfSEEKER_ID",'State PivotTables'!$A$30)</f>
        <v>13237</v>
      </c>
    </row>
    <row r="35" spans="1:15" x14ac:dyDescent="0.3">
      <c r="A35" s="299"/>
      <c r="B35" s="111" t="s">
        <v>43</v>
      </c>
      <c r="C35" s="144">
        <f>GETPIVOTDATA("Sum of CountOfSEEKERID",'State PivotTables'!$A$26)</f>
        <v>75706</v>
      </c>
      <c r="D35" s="123"/>
      <c r="E35" s="336"/>
      <c r="F35" s="518" t="s">
        <v>395</v>
      </c>
      <c r="G35" s="518"/>
      <c r="H35" s="518"/>
      <c r="I35" s="518"/>
      <c r="J35" s="518"/>
      <c r="K35" s="335"/>
    </row>
    <row r="36" spans="1:15" ht="57.75" customHeight="1" thickBot="1" x14ac:dyDescent="0.35">
      <c r="A36" s="299"/>
      <c r="B36" s="93" t="s">
        <v>45</v>
      </c>
      <c r="C36" s="152">
        <f>C39/C6</f>
        <v>2.246445132037953</v>
      </c>
      <c r="D36" s="123"/>
      <c r="E36" s="336"/>
      <c r="F36" s="354" t="s">
        <v>262</v>
      </c>
      <c r="G36" s="357">
        <f>'County Wages'!N19</f>
        <v>24259.641500250138</v>
      </c>
      <c r="H36" s="358" t="s">
        <v>261</v>
      </c>
      <c r="I36" s="359" t="s">
        <v>513</v>
      </c>
      <c r="J36" s="307">
        <v>22.42</v>
      </c>
      <c r="K36" s="335"/>
    </row>
    <row r="37" spans="1:15" x14ac:dyDescent="0.3">
      <c r="A37" s="299"/>
      <c r="B37" s="93" t="s">
        <v>46</v>
      </c>
      <c r="C37" s="153">
        <f>C41/C40</f>
        <v>0.85963434505645531</v>
      </c>
      <c r="D37" s="123"/>
      <c r="E37" s="336"/>
      <c r="F37" s="354" t="s">
        <v>439</v>
      </c>
      <c r="G37" s="360">
        <f>'Educational Attainment'!J44</f>
        <v>0.11159421083037291</v>
      </c>
      <c r="H37" s="361"/>
      <c r="I37" s="362"/>
      <c r="J37" s="363"/>
      <c r="K37" s="335"/>
    </row>
    <row r="38" spans="1:15" x14ac:dyDescent="0.3">
      <c r="A38" s="299"/>
      <c r="B38" s="114" t="s">
        <v>36</v>
      </c>
      <c r="C38" s="154">
        <f>GETPIVOTDATA("Sum of AvgOfDuration",'State PivotTables'!$A$26)</f>
        <v>8.3743836581357129</v>
      </c>
      <c r="D38" s="155"/>
      <c r="E38" s="336"/>
      <c r="F38" s="364" t="s">
        <v>447</v>
      </c>
      <c r="G38" s="365" t="s">
        <v>506</v>
      </c>
      <c r="H38" s="366"/>
      <c r="I38" s="367"/>
      <c r="J38" s="368"/>
      <c r="K38" s="335"/>
    </row>
    <row r="39" spans="1:15" x14ac:dyDescent="0.3">
      <c r="A39" s="299"/>
      <c r="B39" s="93" t="s">
        <v>44</v>
      </c>
      <c r="C39" s="369">
        <f>GETPIVOTDATA("Sum of CountOfSERVICEDATE",'State PivotTables'!$A$26)</f>
        <v>262095</v>
      </c>
      <c r="D39" s="123"/>
      <c r="E39" s="336"/>
      <c r="F39" s="364" t="s">
        <v>448</v>
      </c>
      <c r="G39" s="365" t="s">
        <v>505</v>
      </c>
      <c r="H39" s="366"/>
      <c r="I39" s="367"/>
      <c r="J39" s="368"/>
      <c r="K39" s="335"/>
    </row>
    <row r="40" spans="1:15" x14ac:dyDescent="0.3">
      <c r="A40" s="299"/>
      <c r="B40" s="93" t="s">
        <v>62</v>
      </c>
      <c r="C40" s="395">
        <f>GETPIVOTDATA("Sum of OldWages",'State PivotTables'!$A$26)</f>
        <v>33514.11</v>
      </c>
      <c r="D40" s="123"/>
      <c r="E40" s="336"/>
      <c r="F40" s="370"/>
      <c r="G40" s="371"/>
      <c r="H40" s="372"/>
      <c r="I40" s="373"/>
      <c r="J40" s="368"/>
      <c r="K40" s="335"/>
    </row>
    <row r="41" spans="1:15" ht="19.5" thickBot="1" x14ac:dyDescent="0.35">
      <c r="A41" s="299"/>
      <c r="B41" s="93" t="s">
        <v>63</v>
      </c>
      <c r="C41" s="395">
        <f>GETPIVOTDATA("Sum of NewWages",'State PivotTables'!$A$26)</f>
        <v>28809.88</v>
      </c>
      <c r="D41" s="123"/>
      <c r="E41" s="336"/>
      <c r="F41" s="275"/>
      <c r="G41" s="275"/>
      <c r="H41" s="279"/>
      <c r="I41" s="280"/>
      <c r="J41" s="281"/>
      <c r="K41" s="335"/>
      <c r="L41" s="3"/>
      <c r="M41" s="3"/>
    </row>
    <row r="42" spans="1:15" x14ac:dyDescent="0.3">
      <c r="A42" s="112"/>
      <c r="B42" s="112"/>
      <c r="C42" s="112"/>
      <c r="D42" s="112"/>
      <c r="E42" s="112"/>
      <c r="F42" s="112"/>
      <c r="G42" s="112"/>
      <c r="H42" s="112"/>
      <c r="I42" s="112"/>
      <c r="J42" s="112"/>
      <c r="K42" s="112"/>
      <c r="L42" s="3"/>
      <c r="M42" s="3"/>
    </row>
    <row r="43" spans="1:15" x14ac:dyDescent="0.3">
      <c r="A43" s="3"/>
      <c r="B43" s="84"/>
      <c r="C43" s="86"/>
      <c r="D43" s="110"/>
      <c r="E43" s="84"/>
      <c r="F43" s="87"/>
      <c r="G43" s="116"/>
      <c r="H43" s="8"/>
      <c r="I43" s="38"/>
      <c r="J43" s="38"/>
      <c r="K43" s="3"/>
      <c r="L43" s="3"/>
      <c r="M43" s="3"/>
    </row>
    <row r="44" spans="1:15" x14ac:dyDescent="0.3">
      <c r="A44" s="3"/>
      <c r="B44" s="84"/>
      <c r="C44" s="83"/>
      <c r="D44" s="110"/>
      <c r="E44" s="84"/>
      <c r="F44" s="116"/>
      <c r="G44" s="87"/>
      <c r="H44" s="117"/>
      <c r="I44" s="42"/>
      <c r="J44" s="118"/>
      <c r="K44" s="3"/>
      <c r="L44" s="3"/>
      <c r="M44" s="3"/>
    </row>
    <row r="45" spans="1:15" x14ac:dyDescent="0.3">
      <c r="A45" s="3"/>
      <c r="B45" s="84"/>
      <c r="C45" s="83"/>
      <c r="D45" s="110"/>
      <c r="E45" s="84"/>
      <c r="F45" s="87"/>
      <c r="G45" s="87"/>
      <c r="H45" s="119"/>
      <c r="I45" s="64"/>
      <c r="J45" s="64"/>
      <c r="K45" s="3"/>
      <c r="L45" s="3"/>
      <c r="M45" s="3"/>
    </row>
    <row r="46" spans="1:15" x14ac:dyDescent="0.3">
      <c r="A46" s="3"/>
      <c r="B46" s="84"/>
      <c r="C46" s="83"/>
      <c r="D46" s="110"/>
      <c r="E46" s="84"/>
      <c r="F46" s="87"/>
      <c r="G46" s="100"/>
      <c r="H46" s="119"/>
      <c r="I46" s="64"/>
      <c r="J46" s="64"/>
      <c r="K46" s="3"/>
      <c r="L46" s="3"/>
      <c r="M46" s="3"/>
    </row>
    <row r="47" spans="1:15" x14ac:dyDescent="0.3">
      <c r="A47" s="3"/>
      <c r="B47" s="84"/>
      <c r="C47" s="83"/>
      <c r="D47" s="110"/>
      <c r="E47" s="84"/>
      <c r="F47" s="100"/>
      <c r="G47" s="87"/>
      <c r="H47" s="119"/>
      <c r="I47" s="64"/>
      <c r="J47" s="64"/>
      <c r="K47" s="3"/>
      <c r="L47" s="3"/>
      <c r="M47" s="3"/>
    </row>
    <row r="48" spans="1:15" x14ac:dyDescent="0.3">
      <c r="A48" s="3"/>
      <c r="B48" s="84"/>
      <c r="C48" s="83"/>
      <c r="D48" s="110"/>
      <c r="E48" s="84"/>
      <c r="F48" s="87"/>
      <c r="G48" s="100"/>
      <c r="H48" s="119"/>
      <c r="I48" s="64"/>
      <c r="J48" s="64"/>
      <c r="K48" s="3"/>
      <c r="L48" s="3"/>
      <c r="M48" s="3"/>
    </row>
    <row r="49" spans="1:13" x14ac:dyDescent="0.3">
      <c r="A49" s="3"/>
      <c r="B49" s="84"/>
      <c r="C49" s="83"/>
      <c r="D49" s="110"/>
      <c r="E49" s="84"/>
      <c r="F49" s="100"/>
      <c r="G49" s="101"/>
      <c r="H49" s="119"/>
      <c r="I49" s="113"/>
      <c r="J49" s="64"/>
      <c r="K49" s="40"/>
      <c r="L49" s="3"/>
      <c r="M49" s="3"/>
    </row>
    <row r="50" spans="1:13" x14ac:dyDescent="0.3">
      <c r="A50" s="3"/>
      <c r="B50" s="84"/>
      <c r="C50" s="85"/>
      <c r="D50" s="85"/>
      <c r="E50" s="84"/>
      <c r="F50" s="87"/>
      <c r="G50" s="100"/>
      <c r="H50" s="119"/>
      <c r="I50" s="120"/>
      <c r="J50" s="64"/>
      <c r="K50" s="3"/>
      <c r="L50" s="3"/>
      <c r="M50" s="3"/>
    </row>
    <row r="51" spans="1:13" x14ac:dyDescent="0.3">
      <c r="A51" s="3"/>
      <c r="B51" s="84"/>
      <c r="C51" s="85"/>
      <c r="D51" s="85"/>
      <c r="E51" s="84"/>
      <c r="F51" s="100"/>
      <c r="G51" s="87"/>
      <c r="H51" s="119"/>
      <c r="I51" s="113"/>
      <c r="J51" s="64"/>
      <c r="K51" s="3"/>
      <c r="L51" s="3"/>
      <c r="M51" s="3"/>
    </row>
    <row r="52" spans="1:13" x14ac:dyDescent="0.3">
      <c r="A52" s="3"/>
      <c r="B52" s="84"/>
      <c r="C52" s="85"/>
      <c r="D52" s="85"/>
      <c r="E52" s="84"/>
      <c r="F52" s="87"/>
      <c r="G52" s="82"/>
      <c r="H52" s="82"/>
      <c r="I52" s="40"/>
      <c r="J52" s="40"/>
      <c r="K52" s="3"/>
      <c r="L52" s="3"/>
      <c r="M52" s="3"/>
    </row>
    <row r="53" spans="1:13" x14ac:dyDescent="0.3">
      <c r="A53" s="3"/>
      <c r="B53" s="84"/>
      <c r="C53" s="85"/>
      <c r="D53" s="85"/>
      <c r="E53" s="84"/>
      <c r="F53" s="82"/>
      <c r="G53" s="82"/>
      <c r="H53" s="82"/>
      <c r="I53" s="40"/>
      <c r="J53" s="40"/>
      <c r="K53" s="3"/>
      <c r="L53" s="3"/>
      <c r="M53" s="3"/>
    </row>
    <row r="54" spans="1:13" x14ac:dyDescent="0.3">
      <c r="A54" s="3"/>
      <c r="B54" s="84"/>
      <c r="C54" s="85"/>
      <c r="D54" s="85"/>
      <c r="E54" s="6"/>
      <c r="F54" s="82"/>
      <c r="G54" s="82"/>
      <c r="H54" s="82"/>
      <c r="I54" s="40"/>
      <c r="J54" s="40"/>
      <c r="K54" s="3"/>
      <c r="L54" s="3"/>
      <c r="M54" s="3"/>
    </row>
    <row r="55" spans="1:13" x14ac:dyDescent="0.3">
      <c r="A55" s="3"/>
      <c r="B55" s="84"/>
      <c r="C55" s="85"/>
      <c r="D55" s="85"/>
      <c r="E55" s="6"/>
      <c r="F55" s="82"/>
      <c r="G55" s="82"/>
      <c r="H55" s="82"/>
      <c r="I55" s="40"/>
      <c r="J55" s="40"/>
      <c r="K55" s="3"/>
      <c r="L55" s="3"/>
      <c r="M55" s="3"/>
    </row>
    <row r="56" spans="1:13" x14ac:dyDescent="0.3">
      <c r="A56" s="3"/>
      <c r="B56" s="84"/>
      <c r="C56" s="85"/>
      <c r="D56" s="85"/>
      <c r="E56" s="6"/>
      <c r="F56" s="82"/>
      <c r="G56" s="82"/>
      <c r="H56" s="82"/>
      <c r="I56" s="40"/>
      <c r="J56" s="40"/>
      <c r="K56" s="3"/>
      <c r="L56" s="3"/>
      <c r="M56" s="3"/>
    </row>
    <row r="57" spans="1:13" x14ac:dyDescent="0.3">
      <c r="A57" s="3"/>
      <c r="B57" s="84"/>
      <c r="C57" s="85"/>
      <c r="D57" s="85"/>
      <c r="E57" s="6"/>
      <c r="F57" s="82"/>
      <c r="G57" s="82"/>
      <c r="H57" s="82"/>
      <c r="I57" s="40"/>
      <c r="J57" s="40"/>
      <c r="K57" s="3"/>
      <c r="L57" s="3"/>
      <c r="M57" s="3"/>
    </row>
    <row r="58" spans="1:13" x14ac:dyDescent="0.3">
      <c r="A58" s="3"/>
      <c r="B58" s="84"/>
      <c r="C58" s="85"/>
      <c r="D58" s="85"/>
      <c r="E58" s="6"/>
      <c r="F58" s="82"/>
      <c r="G58" s="82"/>
      <c r="H58" s="82"/>
      <c r="I58" s="40"/>
      <c r="J58" s="40"/>
      <c r="K58" s="3"/>
      <c r="L58" s="3"/>
      <c r="M58" s="3"/>
    </row>
    <row r="59" spans="1:13" x14ac:dyDescent="0.3">
      <c r="A59" s="3"/>
      <c r="B59" s="6"/>
      <c r="C59" s="121"/>
      <c r="D59" s="121"/>
      <c r="E59" s="6"/>
      <c r="F59" s="82"/>
      <c r="G59" s="82"/>
      <c r="H59" s="82"/>
      <c r="I59" s="40"/>
      <c r="J59" s="40"/>
      <c r="K59" s="3"/>
      <c r="L59" s="3"/>
      <c r="M59" s="3"/>
    </row>
    <row r="60" spans="1:13" x14ac:dyDescent="0.3">
      <c r="A60" s="3"/>
      <c r="B60" s="6"/>
      <c r="C60" s="121"/>
      <c r="D60" s="121"/>
      <c r="E60" s="6"/>
      <c r="F60" s="82"/>
      <c r="G60" s="82"/>
      <c r="H60" s="82"/>
      <c r="I60" s="40"/>
      <c r="J60" s="40"/>
      <c r="K60" s="3"/>
      <c r="L60" s="3"/>
      <c r="M60" s="3"/>
    </row>
    <row r="61" spans="1:13" x14ac:dyDescent="0.3">
      <c r="A61" s="3"/>
      <c r="B61" s="6"/>
      <c r="C61" s="121"/>
      <c r="D61" s="121"/>
      <c r="E61" s="6"/>
      <c r="F61" s="82"/>
      <c r="G61" s="82"/>
      <c r="H61" s="82"/>
      <c r="I61" s="40"/>
      <c r="J61" s="40"/>
      <c r="K61" s="3"/>
      <c r="L61" s="3"/>
      <c r="M61" s="3"/>
    </row>
    <row r="62" spans="1:13" x14ac:dyDescent="0.3">
      <c r="A62" s="3"/>
      <c r="B62" s="6"/>
      <c r="C62" s="121"/>
      <c r="D62" s="121"/>
      <c r="E62" s="6"/>
      <c r="F62" s="82"/>
      <c r="G62" s="82"/>
      <c r="H62" s="82"/>
      <c r="I62" s="40"/>
      <c r="J62" s="40"/>
      <c r="K62" s="3"/>
      <c r="L62" s="3"/>
      <c r="M62" s="3"/>
    </row>
    <row r="63" spans="1:13" x14ac:dyDescent="0.3">
      <c r="A63" s="3"/>
      <c r="B63" s="6"/>
      <c r="C63" s="121"/>
      <c r="D63" s="121"/>
      <c r="E63" s="6"/>
      <c r="F63" s="82"/>
      <c r="G63" s="82"/>
      <c r="H63" s="82"/>
      <c r="I63" s="40"/>
      <c r="J63" s="40"/>
      <c r="K63" s="3"/>
      <c r="L63" s="3"/>
      <c r="M63" s="3"/>
    </row>
    <row r="64" spans="1:13" x14ac:dyDescent="0.3">
      <c r="A64" s="3"/>
      <c r="B64" s="6"/>
      <c r="C64" s="121"/>
      <c r="D64" s="121"/>
      <c r="E64" s="6"/>
      <c r="F64" s="82"/>
      <c r="G64" s="82"/>
      <c r="H64" s="82"/>
      <c r="I64" s="40"/>
      <c r="J64" s="40"/>
      <c r="K64" s="3"/>
      <c r="L64" s="3"/>
      <c r="M64" s="3"/>
    </row>
    <row r="65" spans="1:13" x14ac:dyDescent="0.3">
      <c r="A65" s="3"/>
      <c r="B65" s="6"/>
      <c r="C65" s="121"/>
      <c r="D65" s="121"/>
      <c r="E65" s="6"/>
      <c r="F65" s="82"/>
      <c r="G65" s="82"/>
      <c r="H65" s="82"/>
      <c r="I65" s="40"/>
      <c r="J65" s="40"/>
      <c r="K65" s="3"/>
      <c r="L65" s="3"/>
      <c r="M65" s="3"/>
    </row>
    <row r="66" spans="1:13" x14ac:dyDescent="0.3">
      <c r="A66" s="3"/>
      <c r="B66" s="6"/>
      <c r="C66" s="121"/>
      <c r="D66" s="121"/>
      <c r="E66" s="6"/>
      <c r="F66" s="82"/>
      <c r="G66" s="82"/>
      <c r="H66" s="82"/>
      <c r="I66" s="40"/>
      <c r="J66" s="40"/>
      <c r="K66" s="3"/>
      <c r="L66" s="3"/>
      <c r="M66" s="3"/>
    </row>
    <row r="67" spans="1:13" x14ac:dyDescent="0.3">
      <c r="A67" s="3"/>
      <c r="B67" s="6"/>
      <c r="C67" s="121"/>
      <c r="D67" s="121"/>
      <c r="E67" s="6"/>
      <c r="F67" s="82"/>
      <c r="G67" s="82"/>
      <c r="H67" s="82"/>
      <c r="I67" s="40"/>
      <c r="J67" s="40"/>
      <c r="K67" s="3"/>
      <c r="L67" s="3"/>
      <c r="M67" s="3"/>
    </row>
    <row r="68" spans="1:13" x14ac:dyDescent="0.3">
      <c r="A68" s="3"/>
      <c r="B68" s="6"/>
      <c r="C68" s="121"/>
      <c r="D68" s="121"/>
      <c r="E68" s="6"/>
      <c r="F68" s="82"/>
      <c r="G68" s="82"/>
      <c r="H68" s="82"/>
      <c r="I68" s="40"/>
      <c r="J68" s="40"/>
      <c r="K68" s="3"/>
      <c r="L68" s="3"/>
      <c r="M68" s="3"/>
    </row>
    <row r="69" spans="1:13" x14ac:dyDescent="0.3">
      <c r="A69" s="3"/>
      <c r="B69" s="6"/>
      <c r="C69" s="121"/>
      <c r="D69" s="121"/>
      <c r="E69" s="6"/>
      <c r="F69" s="82"/>
      <c r="G69" s="82"/>
      <c r="H69" s="82"/>
      <c r="I69" s="40"/>
      <c r="J69" s="40"/>
      <c r="K69" s="3"/>
      <c r="L69" s="3"/>
      <c r="M69" s="3"/>
    </row>
    <row r="70" spans="1:13" x14ac:dyDescent="0.3">
      <c r="A70" s="3"/>
      <c r="B70" s="6"/>
      <c r="C70" s="121"/>
      <c r="D70" s="121"/>
      <c r="E70" s="6"/>
      <c r="F70" s="82"/>
      <c r="G70" s="82"/>
      <c r="H70" s="82"/>
      <c r="I70" s="40"/>
      <c r="J70" s="40"/>
      <c r="K70" s="3"/>
      <c r="L70" s="3"/>
      <c r="M70" s="3"/>
    </row>
    <row r="71" spans="1:13" x14ac:dyDescent="0.3">
      <c r="A71" s="3"/>
      <c r="B71" s="6"/>
      <c r="C71" s="121"/>
      <c r="D71" s="121"/>
      <c r="E71" s="6"/>
      <c r="F71" s="82"/>
      <c r="G71" s="82"/>
      <c r="H71" s="82"/>
      <c r="I71" s="40"/>
      <c r="J71" s="40"/>
      <c r="K71" s="3"/>
      <c r="L71" s="3"/>
      <c r="M71" s="3"/>
    </row>
    <row r="72" spans="1:13" x14ac:dyDescent="0.3">
      <c r="A72" s="3"/>
      <c r="B72" s="6"/>
      <c r="C72" s="121"/>
      <c r="D72" s="121"/>
      <c r="E72" s="6"/>
      <c r="F72" s="82"/>
      <c r="K72" s="3"/>
      <c r="L72" s="3"/>
      <c r="M72" s="3"/>
    </row>
    <row r="73" spans="1:13" x14ac:dyDescent="0.3">
      <c r="B73" s="6"/>
      <c r="C73" s="121"/>
      <c r="D73" s="121"/>
      <c r="E73" s="6"/>
    </row>
    <row r="74" spans="1:13" x14ac:dyDescent="0.3">
      <c r="B74" s="6"/>
      <c r="C74" s="121"/>
      <c r="D74" s="121"/>
    </row>
  </sheetData>
  <mergeCells count="5">
    <mergeCell ref="F35:J35"/>
    <mergeCell ref="L24:O24"/>
    <mergeCell ref="B2:D2"/>
    <mergeCell ref="F2:K2"/>
    <mergeCell ref="B34:D34"/>
  </mergeCells>
  <dataValidations count="1">
    <dataValidation type="list" allowBlank="1" showInputMessage="1" showErrorMessage="1" sqref="F1">
      <formula1>qUARTERS</formula1>
    </dataValidation>
  </dataValidations>
  <pageMargins left="0.25" right="0.25" top="0.43" bottom="0.45" header="0.3" footer="0.3"/>
  <pageSetup scale="55"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N31"/>
  <sheetViews>
    <sheetView zoomScale="110" zoomScaleNormal="110" workbookViewId="0">
      <selection activeCell="P18" sqref="P18"/>
    </sheetView>
  </sheetViews>
  <sheetFormatPr defaultRowHeight="18.75" x14ac:dyDescent="0.3"/>
  <cols>
    <col min="1" max="1" width="19" customWidth="1"/>
    <col min="2" max="2" width="3.59765625" style="47" customWidth="1"/>
    <col min="3" max="4" width="8.59765625" customWidth="1"/>
    <col min="5" max="5" width="17.5" customWidth="1"/>
    <col min="6" max="6" width="5.69921875" style="47" customWidth="1"/>
    <col min="7" max="7" width="6.296875" customWidth="1"/>
    <col min="8" max="8" width="10.3984375" customWidth="1"/>
    <col min="9" max="9" width="7.296875" customWidth="1"/>
    <col min="10" max="10" width="5.296875" style="47" customWidth="1"/>
    <col min="11" max="11" width="19.59765625" customWidth="1"/>
    <col min="12" max="12" width="6" style="47" customWidth="1"/>
  </cols>
  <sheetData>
    <row r="1" spans="1:14" ht="36" customHeight="1" x14ac:dyDescent="0.4">
      <c r="A1" s="56"/>
      <c r="B1" s="56"/>
      <c r="C1" s="527" t="s">
        <v>161</v>
      </c>
      <c r="D1" s="527"/>
      <c r="E1" s="528" t="s">
        <v>191</v>
      </c>
      <c r="F1" s="528"/>
      <c r="G1" s="528"/>
      <c r="H1" s="528"/>
      <c r="I1" s="528"/>
      <c r="J1" s="50"/>
      <c r="K1" s="56" t="str">
        <f>'Area Data'!G1</f>
        <v>JUL-SEP 2011</v>
      </c>
      <c r="L1" s="50"/>
      <c r="M1" s="13"/>
    </row>
    <row r="2" spans="1:14" ht="32.25" customHeight="1" x14ac:dyDescent="0.3">
      <c r="A2" s="26"/>
      <c r="B2" s="43"/>
      <c r="C2" s="26"/>
      <c r="D2" s="26"/>
      <c r="E2" s="26"/>
      <c r="F2" s="43"/>
      <c r="G2" s="26"/>
      <c r="H2" s="26"/>
      <c r="I2" s="26"/>
      <c r="J2" s="43"/>
      <c r="K2" s="26"/>
      <c r="L2" s="46"/>
      <c r="M2" s="13"/>
    </row>
    <row r="3" spans="1:14" ht="18.75" customHeight="1" x14ac:dyDescent="0.3">
      <c r="A3" s="26"/>
      <c r="B3" s="43"/>
      <c r="C3" s="26"/>
      <c r="D3" s="26"/>
      <c r="E3" s="26"/>
      <c r="F3" s="43"/>
      <c r="G3" s="26"/>
      <c r="H3" s="26"/>
      <c r="I3" s="26"/>
      <c r="J3" s="43"/>
      <c r="K3" s="26"/>
      <c r="L3" s="46"/>
      <c r="M3" s="13"/>
    </row>
    <row r="4" spans="1:14" ht="18.75" customHeight="1" x14ac:dyDescent="0.3">
      <c r="A4" s="26"/>
      <c r="B4" s="43"/>
      <c r="C4" s="26"/>
      <c r="D4" s="26"/>
      <c r="E4" s="26"/>
      <c r="F4" s="43"/>
      <c r="G4" s="26"/>
      <c r="H4" s="26"/>
      <c r="I4" s="26"/>
      <c r="J4" s="43"/>
      <c r="K4" s="26"/>
      <c r="L4" s="46"/>
      <c r="M4" s="13"/>
    </row>
    <row r="5" spans="1:14" ht="18.75" customHeight="1" x14ac:dyDescent="0.3">
      <c r="A5" s="26"/>
      <c r="B5" s="43"/>
      <c r="C5" s="26"/>
      <c r="D5" s="26"/>
      <c r="E5" s="26"/>
      <c r="F5" s="43"/>
      <c r="G5" s="26"/>
      <c r="H5" s="26"/>
      <c r="I5" s="26"/>
      <c r="J5" s="43"/>
      <c r="K5" s="26"/>
      <c r="L5" s="46"/>
      <c r="M5" s="13"/>
    </row>
    <row r="6" spans="1:14" ht="18.75" customHeight="1" x14ac:dyDescent="0.3">
      <c r="A6" s="26"/>
      <c r="B6" s="43"/>
      <c r="C6" s="26"/>
      <c r="D6" s="26"/>
      <c r="E6" s="26"/>
      <c r="F6" s="43"/>
      <c r="G6" s="26"/>
      <c r="H6" s="26"/>
      <c r="I6" s="26"/>
      <c r="J6" s="43"/>
      <c r="K6" s="26"/>
      <c r="L6" s="46"/>
      <c r="M6" s="13"/>
    </row>
    <row r="7" spans="1:14" ht="45" customHeight="1" x14ac:dyDescent="0.3">
      <c r="A7" s="26"/>
      <c r="B7" s="43"/>
      <c r="C7" s="26"/>
      <c r="D7" s="26"/>
      <c r="E7" s="26"/>
      <c r="F7" s="43"/>
      <c r="G7" s="26"/>
      <c r="H7" s="27"/>
      <c r="I7" s="19"/>
      <c r="J7" s="53"/>
      <c r="K7" s="13"/>
      <c r="L7" s="46"/>
      <c r="M7" s="13"/>
    </row>
    <row r="8" spans="1:14" ht="19.5" customHeight="1" x14ac:dyDescent="0.3">
      <c r="A8" s="12"/>
      <c r="B8" s="34"/>
      <c r="C8" s="12"/>
      <c r="D8" s="12"/>
      <c r="E8" s="12"/>
      <c r="F8" s="34"/>
      <c r="G8" s="12"/>
      <c r="H8" s="12"/>
      <c r="I8" s="12"/>
      <c r="J8" s="34"/>
      <c r="K8" s="12"/>
      <c r="L8" s="46"/>
      <c r="M8" s="13"/>
    </row>
    <row r="9" spans="1:14" x14ac:dyDescent="0.3">
      <c r="A9" s="12"/>
      <c r="B9" s="34"/>
      <c r="C9" s="12"/>
      <c r="D9" s="12"/>
      <c r="E9" s="12"/>
      <c r="F9" s="34"/>
      <c r="G9" s="12"/>
      <c r="H9" s="12"/>
      <c r="I9" s="12"/>
      <c r="J9" s="34"/>
      <c r="K9" s="12"/>
      <c r="L9" s="46"/>
      <c r="M9" s="13"/>
    </row>
    <row r="10" spans="1:14" x14ac:dyDescent="0.3">
      <c r="A10" s="12"/>
      <c r="B10" s="34"/>
      <c r="C10" s="12"/>
      <c r="D10" s="12"/>
      <c r="E10" s="12"/>
      <c r="F10" s="34"/>
      <c r="G10" s="12"/>
      <c r="H10" s="12"/>
      <c r="I10" s="12"/>
      <c r="J10" s="34"/>
      <c r="K10" s="12"/>
      <c r="L10" s="46"/>
      <c r="M10" s="13"/>
    </row>
    <row r="11" spans="1:14" x14ac:dyDescent="0.3">
      <c r="A11" s="12"/>
      <c r="B11" s="34"/>
      <c r="C11" s="12"/>
      <c r="D11" s="12"/>
      <c r="E11" s="12"/>
      <c r="F11" s="34"/>
      <c r="G11" s="12"/>
      <c r="H11" s="12"/>
      <c r="I11" s="12"/>
      <c r="J11" s="34"/>
      <c r="K11" s="12"/>
      <c r="L11" s="46"/>
      <c r="M11" s="13"/>
    </row>
    <row r="12" spans="1:14" ht="42" customHeight="1" x14ac:dyDescent="0.35">
      <c r="A12" s="28"/>
      <c r="B12" s="44"/>
      <c r="C12" s="37"/>
      <c r="D12" s="135"/>
      <c r="E12" s="529"/>
      <c r="F12" s="48"/>
      <c r="G12" s="29"/>
      <c r="H12" s="30"/>
      <c r="I12" s="29"/>
      <c r="J12" s="54"/>
      <c r="K12" s="31"/>
      <c r="L12" s="22"/>
      <c r="M12" s="13"/>
    </row>
    <row r="13" spans="1:14" ht="18.75" customHeight="1" x14ac:dyDescent="0.35">
      <c r="A13" s="13"/>
      <c r="B13" s="45"/>
      <c r="C13" s="32"/>
      <c r="D13" s="32"/>
      <c r="E13" s="529"/>
      <c r="F13" s="46"/>
      <c r="G13" s="13"/>
      <c r="H13" s="13"/>
      <c r="I13" s="30"/>
      <c r="J13" s="33"/>
      <c r="K13" s="13"/>
      <c r="L13" s="51"/>
      <c r="M13" s="26"/>
      <c r="N13" s="21"/>
    </row>
    <row r="14" spans="1:14" ht="25.5" customHeight="1" x14ac:dyDescent="0.35">
      <c r="A14" s="13"/>
      <c r="B14" s="45"/>
      <c r="C14" s="32"/>
      <c r="D14" s="32"/>
      <c r="E14" s="529"/>
      <c r="F14" s="46"/>
      <c r="G14" s="13"/>
      <c r="H14" s="14"/>
      <c r="I14" s="30"/>
      <c r="J14" s="34"/>
      <c r="K14" s="13"/>
      <c r="L14" s="46"/>
      <c r="M14" s="26"/>
      <c r="N14" s="21"/>
    </row>
    <row r="15" spans="1:14" s="20" customFormat="1" ht="25.5" customHeight="1" x14ac:dyDescent="0.5">
      <c r="A15" s="13"/>
      <c r="B15" s="45"/>
      <c r="C15" s="32"/>
      <c r="D15" s="32"/>
      <c r="E15" s="529"/>
      <c r="F15" s="49"/>
      <c r="G15" s="14"/>
      <c r="H15" s="35"/>
      <c r="I15" s="30"/>
      <c r="J15" s="36"/>
      <c r="K15" s="24"/>
      <c r="L15" s="52"/>
      <c r="M15" s="26"/>
      <c r="N15" s="21"/>
    </row>
    <row r="16" spans="1:14" s="20" customFormat="1" ht="32.25" customHeight="1" x14ac:dyDescent="0.5">
      <c r="A16" s="13"/>
      <c r="B16" s="45"/>
      <c r="C16" s="32"/>
      <c r="D16" s="32"/>
      <c r="E16" s="529"/>
      <c r="F16" s="49"/>
      <c r="G16" s="14"/>
      <c r="H16" s="35"/>
      <c r="I16" s="30"/>
      <c r="J16" s="33"/>
      <c r="K16" s="25"/>
      <c r="L16" s="52"/>
      <c r="M16" s="26"/>
      <c r="N16" s="21"/>
    </row>
    <row r="17" spans="1:14" s="20" customFormat="1" ht="36" customHeight="1" x14ac:dyDescent="0.5">
      <c r="A17" s="13"/>
      <c r="B17" s="45"/>
      <c r="C17" s="32"/>
      <c r="D17" s="32"/>
      <c r="E17" s="529"/>
      <c r="F17" s="23"/>
      <c r="G17" s="23"/>
      <c r="H17" s="35"/>
      <c r="I17" s="30"/>
      <c r="J17" s="33"/>
      <c r="K17" s="25"/>
      <c r="L17" s="52"/>
      <c r="M17" s="26"/>
      <c r="N17" s="21"/>
    </row>
    <row r="18" spans="1:14" ht="28.5" customHeight="1" x14ac:dyDescent="0.35">
      <c r="A18" s="13"/>
      <c r="B18" s="45"/>
      <c r="C18" s="32"/>
      <c r="D18" s="32"/>
      <c r="E18" s="529"/>
      <c r="F18" s="46"/>
      <c r="G18" s="13"/>
      <c r="H18" s="13"/>
      <c r="I18" s="30"/>
      <c r="J18" s="36"/>
      <c r="K18" s="13"/>
      <c r="L18" s="46"/>
      <c r="M18" s="26"/>
      <c r="N18" s="21"/>
    </row>
    <row r="19" spans="1:14" ht="45" customHeight="1" x14ac:dyDescent="0.35">
      <c r="A19" s="13"/>
      <c r="B19" s="46"/>
      <c r="C19" s="13"/>
      <c r="D19" s="13"/>
      <c r="E19" s="529"/>
      <c r="F19" s="46"/>
      <c r="G19" s="13"/>
      <c r="H19" s="13"/>
      <c r="I19" s="30"/>
      <c r="J19" s="36"/>
      <c r="K19" s="13"/>
      <c r="L19" s="43"/>
      <c r="M19" s="26"/>
      <c r="N19" s="21"/>
    </row>
    <row r="20" spans="1:14" s="76" customFormat="1" ht="22.5" customHeight="1" x14ac:dyDescent="0.25">
      <c r="A20" s="530" t="s">
        <v>86</v>
      </c>
      <c r="B20" s="530"/>
      <c r="C20" s="77">
        <f>'State Data'!C35</f>
        <v>75706</v>
      </c>
      <c r="D20" s="531" t="s">
        <v>23</v>
      </c>
      <c r="E20" s="531"/>
      <c r="F20" s="79">
        <f>'State Data'!C36</f>
        <v>2.246445132037953</v>
      </c>
      <c r="G20" s="532" t="s">
        <v>27</v>
      </c>
      <c r="H20" s="532"/>
      <c r="I20" s="156">
        <f>'State Data'!C37</f>
        <v>0.85963434505645531</v>
      </c>
      <c r="J20" s="523" t="s">
        <v>136</v>
      </c>
      <c r="K20" s="523"/>
      <c r="L20" s="78">
        <f>'State Data'!C38</f>
        <v>8.3743836581357129</v>
      </c>
      <c r="M20" s="74"/>
      <c r="N20" s="75"/>
    </row>
    <row r="21" spans="1:14" ht="32.25" customHeight="1" x14ac:dyDescent="0.35">
      <c r="A21" s="524"/>
      <c r="B21" s="524"/>
      <c r="C21" s="524"/>
      <c r="D21" s="524"/>
      <c r="E21" s="524"/>
      <c r="F21" s="524"/>
      <c r="G21" s="524"/>
      <c r="H21" s="524"/>
      <c r="I21" s="524"/>
      <c r="J21" s="524"/>
      <c r="K21" s="524"/>
      <c r="L21" s="524"/>
      <c r="M21" s="13"/>
    </row>
    <row r="22" spans="1:14" ht="12.75" customHeight="1" x14ac:dyDescent="0.3">
      <c r="A22" s="13"/>
      <c r="B22" s="46"/>
      <c r="C22" s="13"/>
      <c r="D22" s="13"/>
      <c r="E22" s="13"/>
      <c r="F22" s="46"/>
      <c r="G22" s="13"/>
      <c r="H22" s="13"/>
      <c r="I22" s="13"/>
      <c r="J22" s="43"/>
      <c r="K22" s="26"/>
      <c r="L22" s="46"/>
      <c r="M22" s="13"/>
    </row>
    <row r="23" spans="1:14" ht="15.75" customHeight="1" x14ac:dyDescent="0.3">
      <c r="J23" s="55"/>
      <c r="K23" s="18"/>
    </row>
    <row r="24" spans="1:14" ht="18.75" customHeight="1" x14ac:dyDescent="0.3">
      <c r="J24" s="525"/>
      <c r="K24" s="526"/>
    </row>
    <row r="25" spans="1:14" ht="18.75" customHeight="1" x14ac:dyDescent="0.3">
      <c r="J25" s="525"/>
      <c r="K25" s="526"/>
    </row>
    <row r="26" spans="1:14" ht="18.75" customHeight="1" x14ac:dyDescent="0.3">
      <c r="J26" s="55"/>
      <c r="K26" s="18"/>
    </row>
    <row r="29" spans="1:14" x14ac:dyDescent="0.3">
      <c r="K29" s="18"/>
    </row>
    <row r="30" spans="1:14" ht="18.75" customHeight="1" x14ac:dyDescent="0.3"/>
    <row r="31" spans="1:14" ht="18.75" customHeight="1" x14ac:dyDescent="0.3"/>
  </sheetData>
  <mergeCells count="10">
    <mergeCell ref="C1:D1"/>
    <mergeCell ref="E1:I1"/>
    <mergeCell ref="E12:E19"/>
    <mergeCell ref="K24:K25"/>
    <mergeCell ref="J24:J25"/>
    <mergeCell ref="A21:L21"/>
    <mergeCell ref="A20:B20"/>
    <mergeCell ref="D20:E20"/>
    <mergeCell ref="G20:H20"/>
    <mergeCell ref="J20:K20"/>
  </mergeCells>
  <pageMargins left="0.18" right="0.18" top="0.43" bottom="0.26" header="0.23" footer="0.17"/>
  <pageSetup scale="91"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49992370372631"/>
    <pageSetUpPr fitToPage="1"/>
  </sheetPr>
  <dimension ref="A1:X61"/>
  <sheetViews>
    <sheetView zoomScale="70" zoomScaleNormal="70" workbookViewId="0">
      <selection activeCell="N13" sqref="N13"/>
    </sheetView>
  </sheetViews>
  <sheetFormatPr defaultRowHeight="18.75" x14ac:dyDescent="0.3"/>
  <cols>
    <col min="1" max="1" width="11.09765625" customWidth="1"/>
    <col min="2" max="2" width="12.19921875" customWidth="1"/>
    <col min="4" max="4" width="3.69921875" customWidth="1"/>
    <col min="5" max="5" width="21.09765625" customWidth="1"/>
    <col min="6" max="6" width="17.5" customWidth="1"/>
    <col min="7" max="7" width="10.296875" customWidth="1"/>
    <col min="8" max="8" width="15" customWidth="1"/>
    <col min="9" max="9" width="11.8984375" customWidth="1"/>
    <col min="10" max="10" width="10.69921875" customWidth="1"/>
    <col min="11" max="11" width="8.796875" customWidth="1"/>
    <col min="12" max="12" width="17.19921875" customWidth="1"/>
    <col min="13" max="13" width="9" customWidth="1"/>
    <col min="14" max="14" width="10.296875" customWidth="1"/>
    <col min="19" max="19" width="12.3984375" customWidth="1"/>
  </cols>
  <sheetData>
    <row r="1" spans="1:23" ht="39.75" customHeight="1" x14ac:dyDescent="0.4">
      <c r="A1" s="57"/>
      <c r="B1" s="57"/>
      <c r="C1" s="57"/>
      <c r="D1" s="198" t="s">
        <v>161</v>
      </c>
      <c r="E1" s="170" t="s">
        <v>190</v>
      </c>
      <c r="F1" s="57"/>
      <c r="G1" s="57"/>
      <c r="H1" s="57"/>
      <c r="I1" s="57"/>
      <c r="J1" s="57"/>
      <c r="K1" s="56" t="str">
        <f>'Area Data'!G1</f>
        <v>JUL-SEP 2011</v>
      </c>
      <c r="L1" s="56"/>
    </row>
    <row r="2" spans="1:23" x14ac:dyDescent="0.3">
      <c r="D2" s="13"/>
      <c r="E2" s="3"/>
      <c r="F2" s="3"/>
      <c r="G2" s="3"/>
      <c r="H2" s="3"/>
      <c r="I2" s="13"/>
      <c r="J2" s="3"/>
      <c r="K2" s="3"/>
      <c r="L2" s="3"/>
      <c r="M2" s="3"/>
      <c r="N2" s="13"/>
      <c r="O2" s="13"/>
    </row>
    <row r="3" spans="1:23" x14ac:dyDescent="0.3">
      <c r="D3" s="13"/>
      <c r="E3" s="3"/>
      <c r="J3" s="3"/>
      <c r="K3" s="3"/>
      <c r="L3" s="3"/>
      <c r="M3" s="3"/>
      <c r="N3" s="13"/>
      <c r="O3" s="13"/>
    </row>
    <row r="4" spans="1:23" x14ac:dyDescent="0.3">
      <c r="D4" s="13"/>
      <c r="E4" s="3"/>
      <c r="K4" s="3"/>
      <c r="L4" s="3"/>
      <c r="M4" s="3"/>
      <c r="N4" s="13"/>
      <c r="O4" s="13"/>
    </row>
    <row r="5" spans="1:23" x14ac:dyDescent="0.3">
      <c r="D5" s="13"/>
      <c r="E5" s="3"/>
      <c r="K5" s="3"/>
      <c r="L5" s="3"/>
      <c r="M5" s="3"/>
      <c r="N5" s="13"/>
      <c r="O5" s="13"/>
    </row>
    <row r="6" spans="1:23" x14ac:dyDescent="0.3">
      <c r="D6" s="13"/>
      <c r="E6" s="3"/>
      <c r="K6" s="3"/>
      <c r="L6" s="3"/>
      <c r="M6" s="3"/>
      <c r="N6" s="13"/>
      <c r="O6" s="13"/>
    </row>
    <row r="7" spans="1:23" x14ac:dyDescent="0.3">
      <c r="D7" s="13"/>
      <c r="E7" s="3"/>
      <c r="F7" s="3"/>
      <c r="G7" s="3"/>
      <c r="K7" s="3"/>
      <c r="L7" s="3"/>
      <c r="M7" s="3"/>
      <c r="N7" s="13"/>
      <c r="O7" s="13"/>
    </row>
    <row r="8" spans="1:23" x14ac:dyDescent="0.3">
      <c r="D8" s="13"/>
      <c r="E8" s="3"/>
      <c r="F8" s="3"/>
      <c r="G8" s="3"/>
      <c r="H8" s="3"/>
      <c r="I8" s="13"/>
      <c r="J8" s="3"/>
      <c r="K8" s="3"/>
      <c r="L8" s="3"/>
      <c r="M8" s="3"/>
      <c r="N8" s="13"/>
      <c r="O8" s="13"/>
    </row>
    <row r="9" spans="1:23" ht="40.5" customHeight="1" x14ac:dyDescent="0.3">
      <c r="D9" s="13"/>
      <c r="E9" s="3"/>
      <c r="F9" s="3"/>
      <c r="G9" s="3"/>
      <c r="H9" s="3"/>
      <c r="I9" s="13"/>
      <c r="J9" s="3"/>
      <c r="K9" s="3"/>
      <c r="L9" s="3"/>
      <c r="M9" s="3"/>
      <c r="N9" s="13"/>
    </row>
    <row r="10" spans="1:23" ht="48" customHeight="1" x14ac:dyDescent="0.3">
      <c r="D10" s="13"/>
      <c r="E10" s="3"/>
      <c r="F10" s="3"/>
      <c r="G10" s="3"/>
      <c r="H10" s="3"/>
      <c r="I10" s="13"/>
      <c r="J10" s="3"/>
      <c r="K10" s="3"/>
      <c r="L10" s="3"/>
      <c r="M10" s="3"/>
      <c r="N10" s="3"/>
      <c r="V10" s="5"/>
    </row>
    <row r="11" spans="1:23" s="2" customFormat="1" ht="40.5" customHeight="1" x14ac:dyDescent="0.3">
      <c r="D11" s="199"/>
      <c r="E11" s="199"/>
      <c r="M11" s="199"/>
      <c r="N11" s="199"/>
      <c r="V11" s="107"/>
    </row>
    <row r="12" spans="1:23" s="2" customFormat="1" ht="40.5" customHeight="1" x14ac:dyDescent="0.3">
      <c r="M12" s="199"/>
      <c r="N12" s="199"/>
      <c r="V12" s="107"/>
    </row>
    <row r="13" spans="1:23" s="2" customFormat="1" ht="40.5" customHeight="1" x14ac:dyDescent="0.3">
      <c r="M13" s="199"/>
      <c r="N13" s="199"/>
      <c r="V13" s="107"/>
    </row>
    <row r="14" spans="1:23" s="2" customFormat="1" ht="40.5" customHeight="1" x14ac:dyDescent="0.3">
      <c r="M14" s="199"/>
      <c r="N14" s="199"/>
      <c r="V14" s="107"/>
    </row>
    <row r="15" spans="1:23" s="2" customFormat="1" ht="40.5" customHeight="1" x14ac:dyDescent="0.3">
      <c r="M15" s="199"/>
      <c r="N15" s="199"/>
      <c r="V15" s="107"/>
    </row>
    <row r="16" spans="1:23" ht="47.25" customHeight="1" x14ac:dyDescent="0.3">
      <c r="M16" s="108"/>
      <c r="N16" s="3"/>
      <c r="O16" s="13"/>
      <c r="V16" s="5"/>
      <c r="W16" s="5"/>
    </row>
    <row r="17" spans="1:24" x14ac:dyDescent="0.3">
      <c r="M17" s="3"/>
      <c r="N17" s="3"/>
      <c r="O17" s="3"/>
      <c r="R17" s="5"/>
      <c r="S17" s="5"/>
      <c r="T17" s="5"/>
      <c r="U17" s="5"/>
      <c r="V17" s="5"/>
      <c r="W17" s="5"/>
    </row>
    <row r="18" spans="1:24" x14ac:dyDescent="0.3">
      <c r="F18" s="3"/>
      <c r="G18" s="3"/>
      <c r="N18" s="3"/>
      <c r="O18" s="133"/>
      <c r="R18" s="107"/>
      <c r="S18" s="107"/>
      <c r="T18" s="107"/>
      <c r="U18" s="107"/>
      <c r="V18" s="5"/>
      <c r="W18" s="5"/>
    </row>
    <row r="19" spans="1:24" ht="50.25" customHeight="1" x14ac:dyDescent="0.55000000000000004">
      <c r="G19" s="205"/>
      <c r="H19" s="543" t="s">
        <v>111</v>
      </c>
      <c r="I19" s="543"/>
      <c r="J19" s="543"/>
      <c r="K19" s="543"/>
      <c r="L19" s="543"/>
      <c r="M19" s="201"/>
      <c r="N19" s="61"/>
      <c r="O19" s="133"/>
      <c r="S19" s="107"/>
      <c r="T19" s="107"/>
      <c r="U19" s="107"/>
    </row>
    <row r="20" spans="1:24" ht="28.5" customHeight="1" x14ac:dyDescent="0.5">
      <c r="A20" s="542" t="s">
        <v>265</v>
      </c>
      <c r="B20" s="542"/>
      <c r="C20" s="542"/>
      <c r="D20" s="542"/>
      <c r="E20" s="542"/>
      <c r="F20" s="542"/>
      <c r="G20" s="204"/>
      <c r="H20" s="537" t="str">
        <f>'State Data'!F36</f>
        <v>State's Median 6 Month Wage</v>
      </c>
      <c r="I20" s="537"/>
      <c r="J20" s="537"/>
      <c r="K20" s="545">
        <f>'State Data'!G36</f>
        <v>24259.641500250138</v>
      </c>
      <c r="L20" s="545"/>
      <c r="N20" s="3"/>
      <c r="O20" s="133"/>
      <c r="P20" s="2"/>
      <c r="Q20" s="2"/>
      <c r="S20" s="107"/>
      <c r="T20" s="107"/>
      <c r="U20" s="107"/>
      <c r="V20" s="39"/>
      <c r="W20" s="62"/>
    </row>
    <row r="21" spans="1:24" ht="38.25" customHeight="1" x14ac:dyDescent="0.35">
      <c r="A21" s="544" t="s">
        <v>267</v>
      </c>
      <c r="B21" s="544"/>
      <c r="C21" s="544"/>
      <c r="D21" s="544"/>
      <c r="E21" s="224" t="s">
        <v>35</v>
      </c>
      <c r="F21" s="225" t="s">
        <v>268</v>
      </c>
      <c r="G21" s="206"/>
      <c r="H21" s="533" t="s">
        <v>438</v>
      </c>
      <c r="I21" s="533"/>
      <c r="J21" s="533"/>
      <c r="K21" s="540">
        <f>'State Data'!G37</f>
        <v>0.11159421083037291</v>
      </c>
      <c r="L21" s="540"/>
      <c r="N21" s="3"/>
      <c r="O21" s="133"/>
      <c r="P21" s="2"/>
      <c r="Q21" s="2"/>
      <c r="S21" s="107"/>
      <c r="T21" s="107"/>
      <c r="U21" s="107"/>
      <c r="V21" s="39"/>
      <c r="W21" s="62"/>
    </row>
    <row r="22" spans="1:24" s="2" customFormat="1" ht="39.75" customHeight="1" x14ac:dyDescent="0.35">
      <c r="A22" s="539" t="s">
        <v>1</v>
      </c>
      <c r="B22" s="539"/>
      <c r="C22" s="539"/>
      <c r="D22" s="539"/>
      <c r="E22" s="207">
        <f>'State Data'!G4</f>
        <v>170461</v>
      </c>
      <c r="F22" s="207">
        <f>'State Data'!H4</f>
        <v>330012</v>
      </c>
      <c r="G22" s="206"/>
      <c r="H22" s="537" t="s">
        <v>433</v>
      </c>
      <c r="I22" s="537"/>
      <c r="J22" s="537"/>
      <c r="K22" s="538">
        <f>'State Data'!G33</f>
        <v>0.89699980946386459</v>
      </c>
      <c r="L22" s="538"/>
      <c r="N22" s="5"/>
      <c r="O22" s="133"/>
      <c r="P22"/>
      <c r="Q22"/>
      <c r="S22" s="107"/>
      <c r="T22" s="107"/>
      <c r="U22" s="107"/>
      <c r="V22" s="42"/>
      <c r="W22" s="42"/>
    </row>
    <row r="23" spans="1:24" ht="31.5" customHeight="1" x14ac:dyDescent="0.35">
      <c r="A23" s="536" t="s">
        <v>2</v>
      </c>
      <c r="B23" s="536"/>
      <c r="C23" s="536"/>
      <c r="D23" s="536"/>
      <c r="E23" s="208">
        <f>'State Data'!G8</f>
        <v>207450</v>
      </c>
      <c r="F23" s="208">
        <f>'State Data'!H8</f>
        <v>264497</v>
      </c>
      <c r="G23" s="206"/>
      <c r="H23" s="533" t="s">
        <v>110</v>
      </c>
      <c r="I23" s="533"/>
      <c r="J23" s="533"/>
      <c r="K23" s="540">
        <f>'State Data'!G34</f>
        <v>0.30999981778716684</v>
      </c>
      <c r="L23" s="540"/>
      <c r="N23" s="5"/>
      <c r="O23" s="133"/>
      <c r="P23" s="5"/>
      <c r="Q23" s="5"/>
      <c r="R23" s="107"/>
      <c r="S23" s="5"/>
      <c r="T23" s="5"/>
      <c r="U23" s="5"/>
      <c r="V23" s="66"/>
      <c r="W23" s="66"/>
    </row>
    <row r="24" spans="1:24" ht="42.75" customHeight="1" x14ac:dyDescent="0.35">
      <c r="A24" s="539" t="s">
        <v>3</v>
      </c>
      <c r="B24" s="539"/>
      <c r="C24" s="539"/>
      <c r="D24" s="539"/>
      <c r="E24" s="209">
        <f>'State Data'!G12</f>
        <v>2943748234</v>
      </c>
      <c r="F24" s="207">
        <f>'State Data'!H12</f>
        <v>205582</v>
      </c>
      <c r="G24" s="2"/>
      <c r="H24" s="537" t="s">
        <v>113</v>
      </c>
      <c r="I24" s="537"/>
      <c r="J24" s="537"/>
      <c r="K24" s="550" t="str">
        <f>'State Data'!G38</f>
        <v>Other Services +6.6%</v>
      </c>
      <c r="L24" s="550"/>
      <c r="N24" s="5"/>
      <c r="O24" s="133"/>
      <c r="P24" s="2"/>
      <c r="Q24" s="2"/>
      <c r="R24" s="107"/>
      <c r="S24" s="5"/>
      <c r="T24" s="5"/>
      <c r="U24" s="5"/>
      <c r="V24" s="73"/>
      <c r="W24" s="73"/>
    </row>
    <row r="25" spans="1:24" ht="45.75" customHeight="1" x14ac:dyDescent="0.35">
      <c r="D25" s="3"/>
      <c r="E25" s="3"/>
      <c r="F25" s="2"/>
      <c r="G25" s="2"/>
      <c r="H25" s="533" t="s">
        <v>266</v>
      </c>
      <c r="I25" s="533"/>
      <c r="J25" s="533"/>
      <c r="K25" s="551" t="str">
        <f>'State Data'!G39</f>
        <v>Construction -11.2%</v>
      </c>
      <c r="L25" s="551"/>
      <c r="N25" s="5"/>
      <c r="O25" s="133"/>
      <c r="R25" s="107"/>
      <c r="S25" s="5"/>
      <c r="T25" s="5"/>
      <c r="U25" s="5"/>
      <c r="V25" s="65"/>
      <c r="W25" s="66"/>
      <c r="X25" s="66"/>
    </row>
    <row r="26" spans="1:24" ht="24.75" customHeight="1" x14ac:dyDescent="0.45">
      <c r="A26" s="58"/>
      <c r="B26" s="58"/>
      <c r="C26" s="58"/>
      <c r="D26" s="58"/>
      <c r="E26" s="58"/>
      <c r="F26" s="58"/>
      <c r="G26" s="58"/>
      <c r="H26" s="58"/>
      <c r="I26" s="58"/>
      <c r="J26" s="58"/>
      <c r="K26" s="58"/>
      <c r="L26" s="58"/>
      <c r="N26" s="67"/>
      <c r="O26" s="39"/>
      <c r="R26" s="107"/>
      <c r="V26" s="3"/>
      <c r="W26" s="3"/>
      <c r="X26" s="3"/>
    </row>
    <row r="27" spans="1:24" ht="24" customHeight="1" x14ac:dyDescent="0.45">
      <c r="L27" s="202"/>
      <c r="N27" s="200"/>
      <c r="O27" s="200"/>
      <c r="R27" s="5"/>
      <c r="S27" s="3"/>
      <c r="T27" s="3"/>
      <c r="U27" s="61"/>
      <c r="V27" s="13"/>
      <c r="W27" s="13"/>
      <c r="X27" s="13"/>
    </row>
    <row r="28" spans="1:24" ht="31.5" customHeight="1" x14ac:dyDescent="0.35">
      <c r="L28" s="202"/>
      <c r="N28" s="535"/>
      <c r="O28" s="60"/>
      <c r="P28" s="2"/>
      <c r="Q28" s="2"/>
      <c r="W28" s="13"/>
      <c r="X28" s="13"/>
    </row>
    <row r="29" spans="1:24" ht="30.75" customHeight="1" x14ac:dyDescent="0.3">
      <c r="H29" s="2"/>
      <c r="I29" s="2"/>
      <c r="J29" s="2"/>
      <c r="K29" s="2"/>
      <c r="L29" s="203"/>
      <c r="M29" s="2"/>
      <c r="N29" s="535"/>
      <c r="O29" s="64"/>
      <c r="P29" s="2"/>
      <c r="Q29" s="2"/>
      <c r="W29" s="13"/>
      <c r="X29" s="13"/>
    </row>
    <row r="30" spans="1:24" ht="52.5" customHeight="1" x14ac:dyDescent="0.3">
      <c r="L30" s="203"/>
      <c r="N30" s="5"/>
      <c r="O30" s="60"/>
      <c r="P30" s="2"/>
      <c r="Q30" s="2"/>
    </row>
    <row r="31" spans="1:24" ht="21" x14ac:dyDescent="0.3">
      <c r="L31" s="203"/>
      <c r="O31" s="60"/>
      <c r="P31" s="2"/>
      <c r="Q31" s="2"/>
    </row>
    <row r="32" spans="1:24" ht="21" x14ac:dyDescent="0.3">
      <c r="H32" s="2"/>
      <c r="I32" s="2"/>
      <c r="L32" s="203"/>
      <c r="O32" s="3"/>
      <c r="P32" s="2"/>
      <c r="Q32" s="2"/>
    </row>
    <row r="33" spans="5:18" ht="28.5" x14ac:dyDescent="0.45">
      <c r="E33" s="3"/>
      <c r="F33" s="200"/>
      <c r="G33" s="200"/>
      <c r="H33" s="3"/>
    </row>
    <row r="34" spans="5:18" x14ac:dyDescent="0.3">
      <c r="E34" s="13"/>
    </row>
    <row r="35" spans="5:18" x14ac:dyDescent="0.3">
      <c r="E35" s="26"/>
      <c r="J35" s="3"/>
      <c r="K35" s="3"/>
      <c r="L35" s="61"/>
      <c r="M35" s="13"/>
    </row>
    <row r="36" spans="5:18" x14ac:dyDescent="0.3">
      <c r="E36" s="26"/>
      <c r="J36" s="63"/>
      <c r="K36" s="63"/>
      <c r="L36" s="69"/>
      <c r="M36" s="13"/>
    </row>
    <row r="37" spans="5:18" ht="62.25" customHeight="1" x14ac:dyDescent="0.3">
      <c r="E37" s="18"/>
      <c r="J37" s="3"/>
      <c r="K37" s="3"/>
      <c r="L37" s="70"/>
      <c r="N37" s="62"/>
    </row>
    <row r="38" spans="5:18" x14ac:dyDescent="0.3">
      <c r="I38" s="3"/>
      <c r="J38" s="3"/>
      <c r="K38" s="41"/>
      <c r="L38" s="72"/>
    </row>
    <row r="39" spans="5:18" x14ac:dyDescent="0.3">
      <c r="I39" s="3"/>
      <c r="J39" s="3"/>
      <c r="K39" s="3"/>
      <c r="L39" s="3"/>
    </row>
    <row r="40" spans="5:18" x14ac:dyDescent="0.3">
      <c r="I40" s="40"/>
      <c r="J40" s="3"/>
      <c r="K40" s="3"/>
      <c r="L40" s="3"/>
    </row>
    <row r="41" spans="5:18" x14ac:dyDescent="0.3">
      <c r="I41" s="3"/>
      <c r="J41" s="13"/>
      <c r="K41" s="13"/>
      <c r="L41" s="13"/>
    </row>
    <row r="42" spans="5:18" x14ac:dyDescent="0.3">
      <c r="I42" s="3"/>
      <c r="J42" s="13"/>
      <c r="K42" s="13"/>
      <c r="L42" s="13"/>
    </row>
    <row r="43" spans="5:18" x14ac:dyDescent="0.3">
      <c r="F43" s="62"/>
      <c r="G43" s="62"/>
      <c r="I43" s="60"/>
      <c r="J43" s="13"/>
      <c r="K43" s="13"/>
      <c r="L43" s="13"/>
    </row>
    <row r="44" spans="5:18" x14ac:dyDescent="0.3">
      <c r="F44" s="60"/>
      <c r="G44" s="60"/>
      <c r="H44" s="60"/>
      <c r="I44" s="3"/>
      <c r="M44" s="61"/>
    </row>
    <row r="45" spans="5:18" x14ac:dyDescent="0.3">
      <c r="F45" s="60"/>
      <c r="G45" s="60"/>
      <c r="H45" s="60"/>
      <c r="I45" s="13"/>
    </row>
    <row r="46" spans="5:18" x14ac:dyDescent="0.3">
      <c r="P46" s="64"/>
      <c r="Q46" s="64"/>
      <c r="R46" s="26"/>
    </row>
    <row r="47" spans="5:18" x14ac:dyDescent="0.3">
      <c r="P47" s="25"/>
      <c r="Q47" s="60"/>
      <c r="R47" s="26"/>
    </row>
    <row r="48" spans="5:18" x14ac:dyDescent="0.3">
      <c r="P48" s="71"/>
      <c r="Q48" s="60"/>
      <c r="R48" s="18"/>
    </row>
    <row r="49" spans="16:21" x14ac:dyDescent="0.3">
      <c r="P49" s="60"/>
      <c r="Q49" s="25"/>
      <c r="R49" s="18"/>
    </row>
    <row r="50" spans="16:21" x14ac:dyDescent="0.3">
      <c r="P50" s="3"/>
      <c r="Q50" s="3"/>
    </row>
    <row r="51" spans="16:21" x14ac:dyDescent="0.3">
      <c r="P51" s="13"/>
      <c r="Q51" s="13"/>
      <c r="S51" s="40"/>
      <c r="T51" s="40"/>
      <c r="U51" s="62"/>
    </row>
    <row r="52" spans="16:21" x14ac:dyDescent="0.3">
      <c r="P52" s="26"/>
      <c r="Q52" s="26"/>
    </row>
    <row r="53" spans="16:21" x14ac:dyDescent="0.3">
      <c r="P53" s="26"/>
      <c r="Q53" s="26"/>
    </row>
    <row r="54" spans="16:21" x14ac:dyDescent="0.3">
      <c r="P54" s="18"/>
      <c r="Q54" s="18"/>
    </row>
    <row r="55" spans="16:21" x14ac:dyDescent="0.3">
      <c r="P55" s="18"/>
      <c r="Q55" s="18"/>
      <c r="R55" s="3"/>
    </row>
    <row r="61" spans="16:21" x14ac:dyDescent="0.3">
      <c r="P61" s="60"/>
      <c r="Q61" s="60"/>
    </row>
  </sheetData>
  <mergeCells count="19">
    <mergeCell ref="N28:N29"/>
    <mergeCell ref="K24:L24"/>
    <mergeCell ref="K25:L25"/>
    <mergeCell ref="H19:L19"/>
    <mergeCell ref="H21:J21"/>
    <mergeCell ref="H22:J22"/>
    <mergeCell ref="H23:J23"/>
    <mergeCell ref="K22:L22"/>
    <mergeCell ref="K23:L23"/>
    <mergeCell ref="H24:J24"/>
    <mergeCell ref="H25:J25"/>
    <mergeCell ref="K20:L20"/>
    <mergeCell ref="K21:L21"/>
    <mergeCell ref="H20:J20"/>
    <mergeCell ref="A20:F20"/>
    <mergeCell ref="A22:D22"/>
    <mergeCell ref="A23:D23"/>
    <mergeCell ref="A24:D24"/>
    <mergeCell ref="A21:D21"/>
  </mergeCells>
  <pageMargins left="0.65" right="0.12" top="0.34" bottom="0.03" header="0.22" footer="0.15"/>
  <pageSetup scale="69" orientation="landscape"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ublished="0">
    <pageSetUpPr fitToPage="1"/>
  </sheetPr>
  <dimension ref="A1:U83"/>
  <sheetViews>
    <sheetView zoomScale="80" zoomScaleNormal="80" workbookViewId="0">
      <selection activeCell="B21" sqref="B21"/>
    </sheetView>
  </sheetViews>
  <sheetFormatPr defaultRowHeight="18.75" x14ac:dyDescent="0.3"/>
  <cols>
    <col min="1" max="1" width="18.3984375" style="10" customWidth="1"/>
    <col min="2" max="2" width="96.796875" style="483" customWidth="1"/>
    <col min="3" max="3" width="4.09765625" style="508" customWidth="1"/>
    <col min="4" max="4" width="35.09765625" style="487" customWidth="1"/>
    <col min="5" max="5" width="23.69921875" style="11" customWidth="1"/>
    <col min="6" max="6" width="18.69921875" style="11" customWidth="1"/>
    <col min="7" max="7" width="14.09765625" style="11" customWidth="1"/>
    <col min="8" max="8" width="12.59765625" style="11" customWidth="1"/>
    <col min="9" max="9" width="3.3984375" style="9" customWidth="1"/>
    <col min="13" max="13" width="11.3984375" customWidth="1"/>
  </cols>
  <sheetData>
    <row r="1" spans="1:15" s="20" customFormat="1" ht="30" customHeight="1" x14ac:dyDescent="0.5">
      <c r="A1" s="568" t="s">
        <v>78</v>
      </c>
      <c r="B1" s="568"/>
      <c r="C1" s="492"/>
      <c r="D1" s="568" t="s">
        <v>77</v>
      </c>
      <c r="E1" s="568"/>
      <c r="F1" s="568"/>
      <c r="G1" s="568"/>
      <c r="H1" s="568"/>
    </row>
    <row r="2" spans="1:15" ht="55.5" customHeight="1" x14ac:dyDescent="0.35">
      <c r="A2" s="584" t="s">
        <v>81</v>
      </c>
      <c r="B2" s="584"/>
      <c r="C2" s="493"/>
      <c r="D2" s="575" t="s">
        <v>73</v>
      </c>
      <c r="E2" s="576"/>
      <c r="F2" s="576"/>
      <c r="G2" s="576"/>
      <c r="H2" s="577"/>
      <c r="I2" s="4"/>
    </row>
    <row r="3" spans="1:15" ht="32.25" x14ac:dyDescent="0.3">
      <c r="A3" s="91" t="s">
        <v>8</v>
      </c>
      <c r="B3" s="94" t="s">
        <v>95</v>
      </c>
      <c r="C3" s="493"/>
      <c r="D3" s="581" t="s">
        <v>393</v>
      </c>
      <c r="E3" s="582"/>
      <c r="F3" s="582"/>
      <c r="G3" s="582"/>
      <c r="H3" s="583"/>
      <c r="I3" s="4"/>
    </row>
    <row r="4" spans="1:15" ht="25.5" customHeight="1" x14ac:dyDescent="0.3">
      <c r="A4" s="92" t="s">
        <v>80</v>
      </c>
      <c r="B4" s="94" t="s">
        <v>545</v>
      </c>
      <c r="C4" s="493"/>
      <c r="D4" s="586" t="s">
        <v>79</v>
      </c>
      <c r="E4" s="587"/>
      <c r="F4" s="587"/>
      <c r="G4" s="587"/>
      <c r="H4" s="588"/>
      <c r="I4" s="4"/>
    </row>
    <row r="5" spans="1:15" ht="27" customHeight="1" x14ac:dyDescent="0.3">
      <c r="A5" s="92" t="s">
        <v>52</v>
      </c>
      <c r="B5" s="94" t="s">
        <v>64</v>
      </c>
      <c r="C5" s="493"/>
      <c r="D5" s="572" t="s">
        <v>74</v>
      </c>
      <c r="E5" s="573"/>
      <c r="F5" s="573"/>
      <c r="G5" s="573"/>
      <c r="H5" s="574"/>
      <c r="I5" s="4"/>
    </row>
    <row r="6" spans="1:15" ht="31.5" customHeight="1" x14ac:dyDescent="0.3">
      <c r="A6" s="92" t="s">
        <v>53</v>
      </c>
      <c r="B6" s="94" t="s">
        <v>65</v>
      </c>
      <c r="C6" s="493"/>
      <c r="D6" s="578" t="s">
        <v>88</v>
      </c>
      <c r="E6" s="579"/>
      <c r="F6" s="579"/>
      <c r="G6" s="579"/>
      <c r="H6" s="580"/>
      <c r="I6" s="4"/>
    </row>
    <row r="7" spans="1:15" ht="23.25" customHeight="1" x14ac:dyDescent="0.3">
      <c r="A7" s="92" t="s">
        <v>50</v>
      </c>
      <c r="B7" s="94" t="s">
        <v>96</v>
      </c>
      <c r="C7" s="493"/>
      <c r="D7" s="572" t="s">
        <v>40</v>
      </c>
      <c r="E7" s="573"/>
      <c r="F7" s="573"/>
      <c r="G7" s="573"/>
      <c r="H7" s="574"/>
      <c r="I7" s="4"/>
      <c r="J7" s="1"/>
    </row>
    <row r="8" spans="1:15" ht="50.25" customHeight="1" x14ac:dyDescent="0.3">
      <c r="A8" s="92" t="s">
        <v>51</v>
      </c>
      <c r="B8" s="94" t="s">
        <v>548</v>
      </c>
      <c r="C8" s="493"/>
      <c r="D8" s="509" t="s">
        <v>135</v>
      </c>
      <c r="E8" s="589" t="s">
        <v>407</v>
      </c>
      <c r="F8" s="589"/>
      <c r="G8" s="589"/>
      <c r="H8" s="589"/>
      <c r="I8" s="4"/>
    </row>
    <row r="9" spans="1:15" ht="40.5" customHeight="1" x14ac:dyDescent="0.3">
      <c r="A9" s="567" t="s">
        <v>392</v>
      </c>
      <c r="B9" s="567"/>
      <c r="C9" s="493"/>
      <c r="D9" s="509" t="s">
        <v>41</v>
      </c>
      <c r="E9" s="590" t="s">
        <v>408</v>
      </c>
      <c r="F9" s="590"/>
      <c r="G9" s="590"/>
      <c r="H9" s="590"/>
      <c r="I9" s="4"/>
    </row>
    <row r="10" spans="1:15" ht="31.5" customHeight="1" x14ac:dyDescent="0.3">
      <c r="A10" s="92" t="s">
        <v>391</v>
      </c>
      <c r="B10" s="94" t="s">
        <v>399</v>
      </c>
      <c r="C10" s="493"/>
      <c r="D10" s="572" t="s">
        <v>42</v>
      </c>
      <c r="E10" s="573"/>
      <c r="F10" s="573"/>
      <c r="G10" s="573"/>
      <c r="H10" s="574"/>
      <c r="I10" s="4"/>
    </row>
    <row r="11" spans="1:15" ht="33" customHeight="1" x14ac:dyDescent="0.3">
      <c r="A11" s="91" t="s">
        <v>54</v>
      </c>
      <c r="B11" s="94" t="s">
        <v>398</v>
      </c>
      <c r="C11" s="493"/>
      <c r="D11" s="92" t="s">
        <v>13</v>
      </c>
      <c r="E11" s="510" t="s">
        <v>89</v>
      </c>
      <c r="F11" s="89" t="s">
        <v>60</v>
      </c>
      <c r="G11" s="89" t="s">
        <v>61</v>
      </c>
      <c r="H11" s="89"/>
      <c r="I11" s="4"/>
    </row>
    <row r="12" spans="1:15" ht="22.5" customHeight="1" x14ac:dyDescent="0.3">
      <c r="A12" s="91" t="s">
        <v>12</v>
      </c>
      <c r="B12" s="94" t="s">
        <v>401</v>
      </c>
      <c r="C12" s="493"/>
      <c r="D12" s="92" t="s">
        <v>14</v>
      </c>
      <c r="E12" s="591" t="s">
        <v>94</v>
      </c>
      <c r="F12" s="593" t="s">
        <v>516</v>
      </c>
      <c r="G12" s="593" t="s">
        <v>75</v>
      </c>
      <c r="H12" s="90"/>
      <c r="I12" s="4"/>
    </row>
    <row r="13" spans="1:15" ht="28.5" customHeight="1" x14ac:dyDescent="0.3">
      <c r="A13" s="92" t="s">
        <v>55</v>
      </c>
      <c r="B13" s="94" t="s">
        <v>400</v>
      </c>
      <c r="C13" s="493"/>
      <c r="D13" s="92" t="s">
        <v>500</v>
      </c>
      <c r="E13" s="592"/>
      <c r="F13" s="594"/>
      <c r="G13" s="594"/>
      <c r="H13" s="90"/>
      <c r="I13" s="4"/>
    </row>
    <row r="14" spans="1:15" ht="32.25" customHeight="1" x14ac:dyDescent="0.3">
      <c r="A14" s="567" t="s">
        <v>82</v>
      </c>
      <c r="B14" s="567"/>
      <c r="C14" s="493"/>
      <c r="D14" s="92" t="s">
        <v>21</v>
      </c>
      <c r="E14" s="592"/>
      <c r="F14" s="594"/>
      <c r="G14" s="594"/>
      <c r="H14" s="90"/>
      <c r="I14" s="4"/>
    </row>
    <row r="15" spans="1:15" ht="66.75" customHeight="1" x14ac:dyDescent="0.3">
      <c r="A15" s="92" t="s">
        <v>18</v>
      </c>
      <c r="B15" s="94" t="s">
        <v>546</v>
      </c>
      <c r="C15" s="493"/>
      <c r="D15" s="92" t="s">
        <v>26</v>
      </c>
      <c r="E15" s="592"/>
      <c r="F15" s="594"/>
      <c r="G15" s="594"/>
      <c r="H15" s="90"/>
      <c r="I15" s="4"/>
      <c r="J15" s="3"/>
      <c r="K15" s="3"/>
      <c r="L15" s="3"/>
      <c r="M15" s="3"/>
      <c r="N15" s="3"/>
      <c r="O15" s="3"/>
    </row>
    <row r="16" spans="1:15" x14ac:dyDescent="0.3">
      <c r="A16" s="92" t="s">
        <v>15</v>
      </c>
      <c r="B16" s="94" t="s">
        <v>66</v>
      </c>
      <c r="C16" s="493"/>
      <c r="D16" s="558" t="s">
        <v>85</v>
      </c>
      <c r="E16" s="559"/>
      <c r="F16" s="559"/>
      <c r="G16" s="559"/>
      <c r="H16" s="560"/>
      <c r="I16" s="4"/>
      <c r="J16" s="3"/>
      <c r="K16" s="3"/>
      <c r="L16" s="3"/>
      <c r="M16" s="3"/>
      <c r="N16" s="3"/>
      <c r="O16" s="3"/>
    </row>
    <row r="17" spans="1:21" ht="44.25" customHeight="1" x14ac:dyDescent="0.3">
      <c r="A17" s="92" t="s">
        <v>19</v>
      </c>
      <c r="B17" s="94" t="s">
        <v>67</v>
      </c>
      <c r="C17" s="493"/>
      <c r="D17" s="511" t="s">
        <v>90</v>
      </c>
      <c r="E17" s="555" t="s">
        <v>453</v>
      </c>
      <c r="F17" s="556"/>
      <c r="G17" s="556"/>
      <c r="H17" s="557"/>
      <c r="I17" s="4"/>
      <c r="J17" s="3"/>
      <c r="K17" s="66"/>
      <c r="L17" s="66"/>
      <c r="M17" s="80"/>
      <c r="N17" s="3"/>
      <c r="O17" s="3"/>
    </row>
    <row r="18" spans="1:21" ht="32.25" customHeight="1" x14ac:dyDescent="0.3">
      <c r="A18" s="92" t="s">
        <v>20</v>
      </c>
      <c r="B18" s="94" t="s">
        <v>547</v>
      </c>
      <c r="C18" s="493"/>
      <c r="D18" s="511" t="s">
        <v>421</v>
      </c>
      <c r="E18" s="569" t="s">
        <v>422</v>
      </c>
      <c r="F18" s="570"/>
      <c r="G18" s="570"/>
      <c r="H18" s="571"/>
      <c r="I18" s="4"/>
      <c r="J18" s="3"/>
      <c r="K18" s="66"/>
      <c r="L18" s="66"/>
      <c r="M18" s="66"/>
      <c r="N18" s="3"/>
      <c r="O18" s="3"/>
    </row>
    <row r="19" spans="1:21" x14ac:dyDescent="0.3">
      <c r="A19" s="567" t="s">
        <v>83</v>
      </c>
      <c r="B19" s="567"/>
      <c r="C19" s="493"/>
      <c r="D19" s="511" t="s">
        <v>91</v>
      </c>
      <c r="E19" s="585" t="s">
        <v>518</v>
      </c>
      <c r="F19" s="585"/>
      <c r="G19" s="585"/>
      <c r="H19" s="424"/>
      <c r="I19" s="4"/>
      <c r="J19" s="3"/>
      <c r="K19" s="3"/>
      <c r="L19" s="3"/>
      <c r="M19" s="3"/>
      <c r="N19" s="3"/>
      <c r="O19" s="3"/>
    </row>
    <row r="20" spans="1:21" s="2" customFormat="1" ht="36.75" customHeight="1" x14ac:dyDescent="0.3">
      <c r="A20" s="92" t="s">
        <v>9</v>
      </c>
      <c r="B20" s="94" t="s">
        <v>68</v>
      </c>
      <c r="C20" s="493"/>
      <c r="D20" s="511" t="s">
        <v>48</v>
      </c>
      <c r="E20" s="561" t="s">
        <v>93</v>
      </c>
      <c r="F20" s="562"/>
      <c r="G20" s="562"/>
      <c r="H20" s="563"/>
      <c r="I20" s="4"/>
      <c r="J20" s="40"/>
      <c r="K20" s="40"/>
      <c r="L20" s="40"/>
      <c r="M20" s="40"/>
      <c r="N20" s="40"/>
      <c r="O20" s="40"/>
    </row>
    <row r="21" spans="1:21" ht="48" customHeight="1" x14ac:dyDescent="0.3">
      <c r="A21" s="92" t="s">
        <v>22</v>
      </c>
      <c r="B21" s="94" t="s">
        <v>69</v>
      </c>
      <c r="C21" s="493"/>
      <c r="D21" s="511" t="s">
        <v>49</v>
      </c>
      <c r="E21" s="564" t="s">
        <v>92</v>
      </c>
      <c r="F21" s="565"/>
      <c r="G21" s="565"/>
      <c r="H21" s="566"/>
      <c r="I21" s="4"/>
      <c r="J21" s="3"/>
      <c r="K21" s="3"/>
      <c r="L21" s="3"/>
      <c r="M21" s="3"/>
      <c r="N21" s="3"/>
      <c r="O21" s="3"/>
    </row>
    <row r="22" spans="1:21" x14ac:dyDescent="0.3">
      <c r="A22" s="567" t="s">
        <v>84</v>
      </c>
      <c r="B22" s="567"/>
      <c r="C22" s="493"/>
      <c r="D22" s="512" t="s">
        <v>409</v>
      </c>
      <c r="E22" s="554" t="s">
        <v>517</v>
      </c>
      <c r="F22" s="554"/>
      <c r="G22" s="554"/>
      <c r="H22" s="554"/>
      <c r="I22" s="4"/>
      <c r="J22" s="3"/>
      <c r="K22" s="3"/>
      <c r="L22" s="3"/>
      <c r="M22" s="3"/>
      <c r="N22" s="3"/>
      <c r="O22" s="3"/>
      <c r="R22" s="15"/>
      <c r="S22" s="17"/>
    </row>
    <row r="23" spans="1:21" ht="33" customHeight="1" x14ac:dyDescent="0.3">
      <c r="A23" s="92" t="s">
        <v>58</v>
      </c>
      <c r="B23" s="95" t="s">
        <v>402</v>
      </c>
      <c r="C23" s="494"/>
      <c r="D23" s="513" t="s">
        <v>410</v>
      </c>
      <c r="E23" s="554"/>
      <c r="F23" s="554"/>
      <c r="G23" s="554"/>
      <c r="H23" s="554"/>
      <c r="I23" s="4"/>
      <c r="J23" s="3"/>
      <c r="K23" s="3"/>
      <c r="L23" s="3"/>
      <c r="M23" s="3"/>
      <c r="N23" s="3"/>
      <c r="O23" s="3"/>
    </row>
    <row r="24" spans="1:21" ht="32.25" x14ac:dyDescent="0.3">
      <c r="A24" s="92" t="s">
        <v>260</v>
      </c>
      <c r="B24" s="97" t="s">
        <v>264</v>
      </c>
      <c r="C24" s="494"/>
      <c r="D24" s="514"/>
      <c r="E24" s="515"/>
      <c r="F24" s="515"/>
      <c r="G24" s="515"/>
      <c r="H24" s="515"/>
      <c r="I24" s="4"/>
      <c r="J24" s="7"/>
      <c r="K24" s="7"/>
      <c r="L24" s="8"/>
      <c r="M24" s="38"/>
      <c r="N24" s="38"/>
      <c r="O24" s="3"/>
      <c r="R24" s="15"/>
      <c r="S24" s="17"/>
    </row>
    <row r="25" spans="1:21" s="2" customFormat="1" ht="35.25" customHeight="1" x14ac:dyDescent="0.3">
      <c r="A25" s="92" t="s">
        <v>514</v>
      </c>
      <c r="B25" s="97" t="s">
        <v>515</v>
      </c>
      <c r="C25" s="494"/>
      <c r="D25" s="485"/>
      <c r="E25" s="477"/>
      <c r="F25" s="477"/>
      <c r="G25" s="477"/>
      <c r="H25" s="477"/>
      <c r="I25" s="4"/>
      <c r="J25" s="102"/>
      <c r="K25" s="4"/>
      <c r="L25" s="3"/>
      <c r="M25" s="66"/>
      <c r="N25" s="39"/>
      <c r="O25" s="39"/>
      <c r="P25" s="59"/>
      <c r="Q25" s="40"/>
      <c r="T25" s="16"/>
      <c r="U25" s="16"/>
    </row>
    <row r="26" spans="1:21" ht="48" customHeight="1" x14ac:dyDescent="0.3">
      <c r="A26" s="552" t="s">
        <v>85</v>
      </c>
      <c r="B26" s="553"/>
      <c r="C26" s="494"/>
      <c r="D26" s="495"/>
      <c r="E26" s="478"/>
      <c r="F26" s="478"/>
      <c r="G26" s="478"/>
      <c r="H26" s="478"/>
      <c r="I26" s="4"/>
      <c r="J26" s="476"/>
      <c r="K26" s="4"/>
      <c r="L26" s="3"/>
      <c r="M26" s="3"/>
      <c r="N26" s="61"/>
      <c r="O26" s="39"/>
      <c r="P26" s="62"/>
      <c r="Q26" s="3"/>
      <c r="T26" s="15"/>
      <c r="U26" s="17"/>
    </row>
    <row r="27" spans="1:21" ht="32.25" customHeight="1" x14ac:dyDescent="0.3">
      <c r="A27" s="496" t="s">
        <v>86</v>
      </c>
      <c r="B27" s="488" t="s">
        <v>87</v>
      </c>
      <c r="C27" s="494"/>
      <c r="D27" s="497"/>
      <c r="E27" s="479"/>
      <c r="F27" s="479"/>
      <c r="G27" s="479"/>
      <c r="H27" s="479"/>
      <c r="I27" s="4"/>
      <c r="J27" s="103"/>
      <c r="K27" s="4"/>
      <c r="L27" s="63"/>
      <c r="M27" s="63"/>
      <c r="N27" s="68"/>
      <c r="O27" s="39"/>
      <c r="P27" s="62"/>
      <c r="Q27" s="3"/>
      <c r="T27" s="15"/>
    </row>
    <row r="28" spans="1:21" ht="27" customHeight="1" x14ac:dyDescent="0.3">
      <c r="A28" s="498" t="s">
        <v>46</v>
      </c>
      <c r="B28" s="424" t="s">
        <v>72</v>
      </c>
      <c r="C28" s="494"/>
      <c r="D28" s="497"/>
      <c r="E28" s="479"/>
      <c r="F28" s="479"/>
      <c r="G28" s="479"/>
      <c r="H28" s="479"/>
      <c r="I28" s="4"/>
      <c r="J28" s="103"/>
      <c r="K28" s="4"/>
      <c r="L28" s="40"/>
      <c r="M28" s="40"/>
      <c r="N28" s="62"/>
      <c r="O28" s="61"/>
      <c r="P28" s="62"/>
      <c r="Q28" s="3"/>
      <c r="T28" s="15"/>
      <c r="U28" s="15"/>
    </row>
    <row r="29" spans="1:21" ht="45" customHeight="1" x14ac:dyDescent="0.3">
      <c r="A29" s="499" t="s">
        <v>62</v>
      </c>
      <c r="B29" s="489" t="s">
        <v>404</v>
      </c>
      <c r="C29" s="500"/>
      <c r="D29" s="501"/>
      <c r="E29" s="480"/>
      <c r="F29" s="480"/>
      <c r="G29" s="480"/>
      <c r="H29" s="480"/>
      <c r="I29" s="4"/>
      <c r="J29" s="104"/>
      <c r="K29" s="4"/>
      <c r="L29" s="63"/>
      <c r="M29" s="63"/>
      <c r="N29" s="69"/>
      <c r="O29" s="42"/>
      <c r="P29" s="42"/>
      <c r="Q29" s="3"/>
      <c r="S29" s="2"/>
      <c r="T29" s="15"/>
      <c r="U29" s="15"/>
    </row>
    <row r="30" spans="1:21" ht="19.5" customHeight="1" x14ac:dyDescent="0.3">
      <c r="A30" s="499" t="s">
        <v>63</v>
      </c>
      <c r="B30" s="489" t="s">
        <v>405</v>
      </c>
      <c r="C30" s="500"/>
      <c r="D30" s="495"/>
      <c r="E30" s="479"/>
      <c r="F30" s="479"/>
      <c r="G30" s="479"/>
      <c r="H30" s="479"/>
      <c r="I30" s="4"/>
      <c r="J30" s="105"/>
      <c r="K30" s="4"/>
      <c r="L30" s="3"/>
      <c r="M30" s="66"/>
      <c r="N30" s="70"/>
      <c r="O30" s="66"/>
      <c r="P30" s="66"/>
      <c r="Q30" s="3"/>
      <c r="T30" s="15"/>
      <c r="U30" s="15"/>
    </row>
    <row r="31" spans="1:21" ht="30.75" customHeight="1" x14ac:dyDescent="0.3">
      <c r="A31" s="502" t="s">
        <v>36</v>
      </c>
      <c r="B31" s="490" t="s">
        <v>76</v>
      </c>
      <c r="C31" s="500"/>
      <c r="D31" s="495"/>
      <c r="E31" s="481"/>
      <c r="F31" s="481"/>
      <c r="G31" s="481"/>
      <c r="H31" s="481"/>
      <c r="I31" s="4"/>
      <c r="J31" s="106"/>
      <c r="K31" s="4"/>
      <c r="L31" s="3"/>
      <c r="M31" s="41"/>
      <c r="N31" s="72"/>
      <c r="O31" s="73"/>
      <c r="P31" s="73"/>
      <c r="Q31" s="3"/>
    </row>
    <row r="32" spans="1:21" ht="32.25" x14ac:dyDescent="0.3">
      <c r="A32" s="498" t="s">
        <v>70</v>
      </c>
      <c r="B32" s="489" t="s">
        <v>406</v>
      </c>
      <c r="C32" s="500"/>
      <c r="D32" s="485"/>
      <c r="E32" s="477"/>
      <c r="F32" s="477"/>
      <c r="G32" s="477"/>
      <c r="H32" s="477"/>
      <c r="I32" s="4"/>
      <c r="J32" s="106"/>
      <c r="K32" s="4"/>
      <c r="L32" s="3"/>
      <c r="M32" s="3"/>
      <c r="N32" s="65"/>
      <c r="O32" s="66"/>
      <c r="P32" s="66"/>
      <c r="Q32" s="3"/>
    </row>
    <row r="33" spans="1:15" x14ac:dyDescent="0.3">
      <c r="A33" s="498" t="s">
        <v>45</v>
      </c>
      <c r="B33" s="491" t="s">
        <v>71</v>
      </c>
      <c r="C33" s="500"/>
      <c r="D33" s="98"/>
      <c r="E33" s="87"/>
      <c r="F33" s="87"/>
      <c r="G33" s="87"/>
      <c r="H33" s="87"/>
      <c r="I33" s="4"/>
      <c r="J33" s="3"/>
      <c r="K33" s="3"/>
      <c r="L33" s="3"/>
      <c r="M33" s="3"/>
      <c r="N33" s="3"/>
      <c r="O33" s="3"/>
    </row>
    <row r="34" spans="1:15" x14ac:dyDescent="0.3">
      <c r="A34" s="503"/>
      <c r="B34" s="504"/>
      <c r="C34" s="505"/>
      <c r="D34" s="504"/>
      <c r="E34" s="503"/>
      <c r="F34" s="505"/>
      <c r="G34" s="505"/>
      <c r="H34" s="505"/>
      <c r="I34" s="4"/>
      <c r="J34" s="3"/>
      <c r="K34" s="3"/>
      <c r="L34" s="3"/>
      <c r="M34" s="3"/>
      <c r="N34" s="3"/>
      <c r="O34" s="3"/>
    </row>
    <row r="35" spans="1:15" ht="49.5" customHeight="1" x14ac:dyDescent="0.3">
      <c r="A35" s="96"/>
      <c r="B35" s="99"/>
      <c r="C35" s="500"/>
      <c r="D35" s="98"/>
      <c r="E35" s="87"/>
      <c r="F35" s="87"/>
      <c r="G35" s="87"/>
      <c r="H35" s="87"/>
      <c r="I35" s="4"/>
      <c r="J35" s="3"/>
      <c r="K35" s="3"/>
      <c r="L35" s="3"/>
      <c r="M35" s="3"/>
      <c r="N35" s="3"/>
      <c r="O35" s="3"/>
    </row>
    <row r="36" spans="1:15" x14ac:dyDescent="0.3">
      <c r="A36" s="96"/>
      <c r="B36" s="482"/>
      <c r="C36" s="506"/>
      <c r="D36" s="98"/>
      <c r="E36" s="87"/>
      <c r="F36" s="87"/>
      <c r="G36" s="87"/>
      <c r="H36" s="87"/>
      <c r="I36" s="88"/>
      <c r="J36" s="3"/>
      <c r="K36" s="3"/>
      <c r="L36" s="3"/>
      <c r="M36" s="3"/>
      <c r="N36" s="3"/>
      <c r="O36" s="3"/>
    </row>
    <row r="37" spans="1:15" x14ac:dyDescent="0.3">
      <c r="A37" s="96"/>
      <c r="B37" s="482"/>
      <c r="C37" s="87"/>
      <c r="D37" s="98"/>
      <c r="E37" s="87"/>
      <c r="F37" s="87"/>
      <c r="G37" s="87"/>
      <c r="H37" s="87"/>
      <c r="I37" s="6"/>
      <c r="J37" s="3"/>
      <c r="K37" s="3"/>
      <c r="L37" s="3"/>
      <c r="M37" s="3"/>
      <c r="N37" s="3"/>
      <c r="O37" s="3"/>
    </row>
    <row r="38" spans="1:15" x14ac:dyDescent="0.3">
      <c r="A38" s="98"/>
      <c r="B38" s="99"/>
      <c r="C38" s="87"/>
      <c r="D38" s="98"/>
      <c r="E38" s="87"/>
      <c r="F38" s="87"/>
      <c r="G38" s="87"/>
      <c r="H38" s="87"/>
      <c r="J38" s="3"/>
      <c r="K38" s="3"/>
      <c r="L38" s="3"/>
      <c r="M38" s="3"/>
      <c r="N38" s="3"/>
      <c r="O38" s="3"/>
    </row>
    <row r="39" spans="1:15" x14ac:dyDescent="0.3">
      <c r="A39" s="96"/>
      <c r="B39" s="482"/>
      <c r="C39" s="87"/>
      <c r="D39" s="98"/>
      <c r="E39" s="87"/>
      <c r="F39" s="87"/>
      <c r="G39" s="87"/>
      <c r="H39" s="87"/>
      <c r="J39" s="3"/>
      <c r="K39" s="3"/>
      <c r="L39" s="3"/>
      <c r="M39" s="3"/>
      <c r="N39" s="3"/>
      <c r="O39" s="3"/>
    </row>
    <row r="40" spans="1:15" x14ac:dyDescent="0.3">
      <c r="A40" s="96"/>
      <c r="B40" s="482"/>
      <c r="C40" s="87"/>
      <c r="D40" s="98"/>
      <c r="E40" s="87"/>
      <c r="F40" s="87"/>
      <c r="G40" s="87"/>
      <c r="H40" s="87"/>
      <c r="I40" s="6"/>
      <c r="J40" s="3"/>
      <c r="K40" s="3"/>
      <c r="L40" s="3"/>
      <c r="M40" s="3"/>
      <c r="N40" s="3"/>
      <c r="O40" s="3"/>
    </row>
    <row r="41" spans="1:15" x14ac:dyDescent="0.3">
      <c r="A41" s="96"/>
      <c r="B41" s="482"/>
      <c r="C41" s="87"/>
      <c r="D41" s="98"/>
      <c r="E41" s="87"/>
      <c r="F41" s="87"/>
      <c r="G41" s="87"/>
      <c r="H41" s="87"/>
      <c r="I41" s="6"/>
      <c r="J41" s="3"/>
      <c r="K41" s="3"/>
      <c r="L41" s="3"/>
      <c r="M41" s="3"/>
      <c r="N41" s="3"/>
      <c r="O41" s="3"/>
    </row>
    <row r="42" spans="1:15" x14ac:dyDescent="0.3">
      <c r="A42" s="507"/>
      <c r="B42" s="484"/>
      <c r="C42" s="87"/>
      <c r="D42" s="486"/>
      <c r="E42" s="87"/>
      <c r="F42" s="87"/>
      <c r="G42" s="87"/>
      <c r="H42" s="87"/>
      <c r="I42" s="6"/>
      <c r="J42" s="3"/>
      <c r="K42" s="3"/>
      <c r="L42" s="3"/>
      <c r="M42" s="3"/>
      <c r="N42" s="3"/>
      <c r="O42" s="3"/>
    </row>
    <row r="43" spans="1:15" x14ac:dyDescent="0.3">
      <c r="A43" s="507"/>
      <c r="B43" s="484"/>
      <c r="C43" s="87"/>
      <c r="D43" s="486"/>
      <c r="E43" s="82"/>
      <c r="F43" s="82"/>
      <c r="G43" s="82"/>
      <c r="H43" s="82"/>
      <c r="I43" s="6"/>
      <c r="J43" s="3"/>
      <c r="K43" s="3"/>
      <c r="L43" s="3"/>
      <c r="M43" s="3"/>
      <c r="N43" s="3"/>
      <c r="O43" s="3"/>
    </row>
    <row r="44" spans="1:15" x14ac:dyDescent="0.3">
      <c r="A44" s="507"/>
      <c r="B44" s="484"/>
      <c r="C44" s="87"/>
      <c r="D44" s="486"/>
      <c r="E44" s="82"/>
      <c r="F44" s="82"/>
      <c r="G44" s="82"/>
      <c r="H44" s="82"/>
      <c r="I44" s="6"/>
      <c r="J44" s="3"/>
      <c r="K44" s="3"/>
      <c r="L44" s="3"/>
      <c r="M44" s="3"/>
      <c r="N44" s="3"/>
      <c r="O44" s="3"/>
    </row>
    <row r="45" spans="1:15" x14ac:dyDescent="0.3">
      <c r="A45" s="507"/>
      <c r="B45" s="484"/>
      <c r="C45" s="87"/>
      <c r="D45" s="486"/>
      <c r="E45" s="82"/>
      <c r="F45" s="82"/>
      <c r="G45" s="82"/>
      <c r="H45" s="82"/>
      <c r="I45" s="6"/>
      <c r="J45" s="3"/>
      <c r="K45" s="3"/>
      <c r="L45" s="3"/>
      <c r="M45" s="3"/>
      <c r="N45" s="3"/>
      <c r="O45" s="3"/>
    </row>
    <row r="46" spans="1:15" x14ac:dyDescent="0.3">
      <c r="C46" s="87"/>
      <c r="D46" s="486"/>
      <c r="E46" s="82"/>
      <c r="F46" s="82"/>
      <c r="G46" s="82"/>
      <c r="H46" s="82"/>
      <c r="I46" s="6"/>
      <c r="J46" s="3"/>
    </row>
    <row r="47" spans="1:15" x14ac:dyDescent="0.3">
      <c r="C47" s="87"/>
      <c r="D47" s="486"/>
      <c r="E47" s="82"/>
      <c r="F47" s="82"/>
      <c r="G47" s="82"/>
      <c r="H47" s="82"/>
      <c r="I47" s="6"/>
      <c r="J47" s="3"/>
    </row>
    <row r="48" spans="1:15" x14ac:dyDescent="0.3">
      <c r="C48" s="87"/>
      <c r="D48" s="486"/>
      <c r="E48" s="82"/>
      <c r="F48" s="82"/>
      <c r="G48" s="82"/>
      <c r="H48" s="82"/>
      <c r="I48" s="82"/>
      <c r="J48" s="3"/>
    </row>
    <row r="49" spans="3:10" x14ac:dyDescent="0.3">
      <c r="C49" s="87"/>
      <c r="D49" s="486"/>
      <c r="E49" s="82"/>
      <c r="F49" s="82"/>
      <c r="G49" s="82"/>
      <c r="H49" s="82"/>
      <c r="I49" s="6"/>
      <c r="J49" s="3"/>
    </row>
    <row r="50" spans="3:10" x14ac:dyDescent="0.3">
      <c r="C50" s="87"/>
      <c r="D50" s="486"/>
      <c r="E50" s="82"/>
      <c r="F50" s="82"/>
      <c r="G50" s="82"/>
      <c r="H50" s="82"/>
      <c r="I50" s="6"/>
      <c r="J50" s="3"/>
    </row>
    <row r="51" spans="3:10" x14ac:dyDescent="0.3">
      <c r="C51" s="87"/>
      <c r="D51" s="486"/>
      <c r="E51" s="82"/>
      <c r="F51" s="82"/>
      <c r="G51" s="82"/>
      <c r="H51" s="82"/>
      <c r="I51" s="6"/>
      <c r="J51" s="3"/>
    </row>
    <row r="52" spans="3:10" x14ac:dyDescent="0.3">
      <c r="C52" s="82"/>
      <c r="D52" s="486"/>
      <c r="E52" s="82"/>
      <c r="F52" s="82"/>
      <c r="G52" s="82"/>
      <c r="H52" s="82"/>
      <c r="I52" s="6"/>
      <c r="J52" s="3"/>
    </row>
    <row r="53" spans="3:10" x14ac:dyDescent="0.3">
      <c r="C53" s="82"/>
      <c r="D53" s="486"/>
      <c r="E53" s="82"/>
      <c r="F53" s="82"/>
      <c r="G53" s="82"/>
      <c r="H53" s="82"/>
      <c r="I53" s="6"/>
      <c r="J53" s="3"/>
    </row>
    <row r="54" spans="3:10" x14ac:dyDescent="0.3">
      <c r="C54" s="82"/>
      <c r="D54" s="486"/>
      <c r="E54" s="82"/>
      <c r="F54" s="82"/>
      <c r="G54" s="82"/>
      <c r="H54" s="82"/>
      <c r="I54" s="6"/>
      <c r="J54" s="3"/>
    </row>
    <row r="55" spans="3:10" x14ac:dyDescent="0.3">
      <c r="C55" s="82"/>
      <c r="D55" s="486"/>
      <c r="E55" s="82"/>
      <c r="F55" s="82"/>
      <c r="G55" s="82"/>
      <c r="H55" s="82"/>
      <c r="I55" s="6"/>
      <c r="J55" s="3"/>
    </row>
    <row r="56" spans="3:10" x14ac:dyDescent="0.3">
      <c r="C56" s="82"/>
      <c r="D56" s="486"/>
      <c r="E56" s="82"/>
      <c r="F56" s="82"/>
      <c r="G56" s="82"/>
      <c r="H56" s="82"/>
      <c r="I56" s="6"/>
      <c r="J56" s="3"/>
    </row>
    <row r="57" spans="3:10" x14ac:dyDescent="0.3">
      <c r="C57" s="82"/>
      <c r="D57" s="486"/>
      <c r="E57" s="82"/>
      <c r="F57" s="82"/>
      <c r="G57" s="82"/>
      <c r="H57" s="82"/>
      <c r="I57" s="6"/>
      <c r="J57" s="3"/>
    </row>
    <row r="58" spans="3:10" x14ac:dyDescent="0.3">
      <c r="C58" s="82"/>
      <c r="D58" s="486"/>
      <c r="E58" s="82"/>
      <c r="F58" s="82"/>
      <c r="G58" s="82"/>
      <c r="H58" s="82"/>
      <c r="I58" s="6"/>
      <c r="J58" s="3"/>
    </row>
    <row r="59" spans="3:10" x14ac:dyDescent="0.3">
      <c r="C59" s="82"/>
      <c r="D59" s="486"/>
      <c r="E59" s="82"/>
      <c r="F59" s="82"/>
      <c r="G59" s="82"/>
      <c r="H59" s="82"/>
      <c r="I59" s="6"/>
      <c r="J59" s="3"/>
    </row>
    <row r="60" spans="3:10" x14ac:dyDescent="0.3">
      <c r="C60" s="82"/>
      <c r="D60" s="486"/>
      <c r="E60" s="82"/>
      <c r="F60" s="82"/>
      <c r="G60" s="82"/>
      <c r="H60" s="82"/>
      <c r="I60" s="6"/>
      <c r="J60" s="3"/>
    </row>
    <row r="61" spans="3:10" x14ac:dyDescent="0.3">
      <c r="C61" s="82"/>
      <c r="D61" s="486"/>
      <c r="E61" s="82"/>
      <c r="F61" s="82"/>
      <c r="G61" s="82"/>
      <c r="H61" s="82"/>
      <c r="I61" s="6"/>
      <c r="J61" s="3"/>
    </row>
    <row r="62" spans="3:10" x14ac:dyDescent="0.3">
      <c r="C62" s="82"/>
      <c r="D62" s="486"/>
      <c r="E62" s="82"/>
      <c r="F62" s="82"/>
      <c r="G62" s="82"/>
      <c r="H62" s="82"/>
      <c r="I62" s="6"/>
      <c r="J62" s="3"/>
    </row>
    <row r="63" spans="3:10" x14ac:dyDescent="0.3">
      <c r="C63" s="82"/>
      <c r="E63" s="82"/>
      <c r="F63" s="82"/>
      <c r="G63" s="82"/>
      <c r="H63" s="82"/>
      <c r="I63" s="6"/>
      <c r="J63" s="3"/>
    </row>
    <row r="64" spans="3:10" x14ac:dyDescent="0.3">
      <c r="C64" s="82"/>
      <c r="H64" s="82"/>
      <c r="I64" s="6"/>
      <c r="J64" s="3"/>
    </row>
    <row r="65" spans="3:10" x14ac:dyDescent="0.3">
      <c r="C65" s="82"/>
      <c r="I65" s="6"/>
      <c r="J65" s="3"/>
    </row>
    <row r="66" spans="3:10" x14ac:dyDescent="0.3">
      <c r="C66" s="82"/>
      <c r="I66" s="6"/>
      <c r="J66" s="3"/>
    </row>
    <row r="67" spans="3:10" x14ac:dyDescent="0.3">
      <c r="C67" s="82"/>
      <c r="I67" s="6"/>
      <c r="J67" s="3"/>
    </row>
    <row r="68" spans="3:10" x14ac:dyDescent="0.3">
      <c r="C68" s="82"/>
      <c r="I68" s="6"/>
      <c r="J68" s="3"/>
    </row>
    <row r="69" spans="3:10" x14ac:dyDescent="0.3">
      <c r="C69" s="82"/>
      <c r="I69" s="6"/>
      <c r="J69" s="3"/>
    </row>
    <row r="70" spans="3:10" x14ac:dyDescent="0.3">
      <c r="C70" s="82"/>
      <c r="I70" s="6"/>
      <c r="J70" s="3"/>
    </row>
    <row r="71" spans="3:10" x14ac:dyDescent="0.3">
      <c r="C71" s="82"/>
      <c r="I71" s="6"/>
      <c r="J71" s="3"/>
    </row>
    <row r="72" spans="3:10" x14ac:dyDescent="0.3">
      <c r="C72" s="82"/>
      <c r="I72" s="6"/>
      <c r="J72" s="3"/>
    </row>
    <row r="73" spans="3:10" x14ac:dyDescent="0.3">
      <c r="C73" s="82"/>
      <c r="I73" s="6"/>
      <c r="J73" s="3"/>
    </row>
    <row r="74" spans="3:10" x14ac:dyDescent="0.3">
      <c r="C74" s="82"/>
      <c r="I74" s="6"/>
      <c r="J74" s="3"/>
    </row>
    <row r="75" spans="3:10" x14ac:dyDescent="0.3">
      <c r="C75" s="82"/>
      <c r="I75" s="6"/>
      <c r="J75" s="3"/>
    </row>
    <row r="76" spans="3:10" x14ac:dyDescent="0.3">
      <c r="C76" s="82"/>
      <c r="I76" s="6"/>
      <c r="J76" s="3"/>
    </row>
    <row r="77" spans="3:10" x14ac:dyDescent="0.3">
      <c r="C77" s="82"/>
      <c r="I77" s="6"/>
      <c r="J77" s="3"/>
    </row>
    <row r="78" spans="3:10" x14ac:dyDescent="0.3">
      <c r="C78" s="82"/>
      <c r="I78" s="6"/>
      <c r="J78" s="3"/>
    </row>
    <row r="79" spans="3:10" x14ac:dyDescent="0.3">
      <c r="C79" s="82"/>
      <c r="I79" s="6"/>
      <c r="J79" s="3"/>
    </row>
    <row r="80" spans="3:10" x14ac:dyDescent="0.3">
      <c r="C80" s="82"/>
      <c r="I80" s="6"/>
      <c r="J80" s="3"/>
    </row>
    <row r="81" spans="3:10" x14ac:dyDescent="0.3">
      <c r="C81" s="82"/>
      <c r="I81" s="6"/>
      <c r="J81" s="3"/>
    </row>
    <row r="82" spans="3:10" x14ac:dyDescent="0.3">
      <c r="C82" s="82"/>
      <c r="I82" s="6"/>
      <c r="J82" s="3"/>
    </row>
    <row r="83" spans="3:10" x14ac:dyDescent="0.3">
      <c r="I83" s="6"/>
      <c r="J83" s="3"/>
    </row>
  </sheetData>
  <mergeCells count="27">
    <mergeCell ref="E8:H8"/>
    <mergeCell ref="E9:H9"/>
    <mergeCell ref="E12:E15"/>
    <mergeCell ref="F12:F15"/>
    <mergeCell ref="G12:G15"/>
    <mergeCell ref="A14:B14"/>
    <mergeCell ref="A19:B19"/>
    <mergeCell ref="A22:B22"/>
    <mergeCell ref="A1:B1"/>
    <mergeCell ref="D1:H1"/>
    <mergeCell ref="E18:H18"/>
    <mergeCell ref="D7:H7"/>
    <mergeCell ref="D10:H10"/>
    <mergeCell ref="D2:H2"/>
    <mergeCell ref="D5:H5"/>
    <mergeCell ref="D6:H6"/>
    <mergeCell ref="D3:H3"/>
    <mergeCell ref="A2:B2"/>
    <mergeCell ref="A9:B9"/>
    <mergeCell ref="E19:G19"/>
    <mergeCell ref="D4:H4"/>
    <mergeCell ref="A26:B26"/>
    <mergeCell ref="E22:H23"/>
    <mergeCell ref="E17:H17"/>
    <mergeCell ref="D16:H16"/>
    <mergeCell ref="E20:H20"/>
    <mergeCell ref="E21:H21"/>
  </mergeCells>
  <hyperlinks>
    <hyperlink ref="D19" r:id="rId1" display="Drop Out Rate"/>
    <hyperlink ref="D22:D23" r:id="rId2" display="Top Growth Industry:"/>
    <hyperlink ref="D9" r:id="rId3"/>
    <hyperlink ref="E11" r:id="rId4" display="% of Population"/>
    <hyperlink ref="D20:D21" r:id="rId5" display="Number with HS degree (of population)"/>
    <hyperlink ref="D8" r:id="rId6" display="County Labor Force"/>
    <hyperlink ref="D3:H3" r:id="rId7" display="see TEGL 17-05 attachment A on the Common Measures Tab"/>
    <hyperlink ref="D22" r:id="rId8"/>
    <hyperlink ref="D23" r:id="rId9"/>
    <hyperlink ref="D17" r:id="rId10"/>
  </hyperlinks>
  <pageMargins left="0.25" right="0.25" top="0.22" bottom="0.45" header="0.3" footer="0.3"/>
  <pageSetup scale="47" orientation="landscape" r:id="rId11"/>
  <drawing r:id="rId12"/>
  <legacyDrawing r:id="rId13"/>
  <oleObjects>
    <mc:AlternateContent xmlns:mc="http://schemas.openxmlformats.org/markup-compatibility/2006">
      <mc:Choice Requires="x14">
        <oleObject progId="AcroExch.Document.7" shapeId="7170" r:id="rId14">
          <objectPr defaultSize="0" autoPict="0" r:id="rId15">
            <anchor moveWithCells="1">
              <from>
                <xdr:col>9</xdr:col>
                <xdr:colOff>285750</xdr:colOff>
                <xdr:row>0</xdr:row>
                <xdr:rowOff>28575</xdr:rowOff>
              </from>
              <to>
                <xdr:col>17</xdr:col>
                <xdr:colOff>695325</xdr:colOff>
                <xdr:row>19</xdr:row>
                <xdr:rowOff>371475</xdr:rowOff>
              </to>
            </anchor>
          </objectPr>
        </oleObject>
      </mc:Choice>
      <mc:Fallback>
        <oleObject progId="AcroExch.Document.7" shapeId="7170" r:id="rId14"/>
      </mc:Fallback>
    </mc:AlternateContent>
  </oleObjec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941"/>
  <sheetViews>
    <sheetView zoomScaleNormal="100" workbookViewId="0">
      <selection activeCell="L24" sqref="L24"/>
    </sheetView>
  </sheetViews>
  <sheetFormatPr defaultColWidth="8.796875" defaultRowHeight="12.75" x14ac:dyDescent="0.2"/>
  <cols>
    <col min="1" max="1" width="8.796875" style="396"/>
    <col min="2" max="2" width="10.59765625" style="396" bestFit="1" customWidth="1"/>
    <col min="3" max="3" width="12.59765625" style="396" customWidth="1"/>
    <col min="4" max="4" width="12.796875" style="396" customWidth="1"/>
    <col min="5" max="6" width="7.5" style="396" customWidth="1"/>
    <col min="7" max="7" width="14.59765625" style="396" customWidth="1"/>
    <col min="8" max="8" width="16.69921875" style="396" customWidth="1"/>
    <col min="9" max="10" width="11" style="396" customWidth="1"/>
    <col min="11" max="11" width="16.8984375" style="396" customWidth="1"/>
    <col min="12" max="12" width="21.3984375" style="396" customWidth="1"/>
    <col min="13" max="13" width="12.8984375" style="396" customWidth="1"/>
    <col min="14" max="14" width="16.3984375" style="396" customWidth="1"/>
    <col min="15" max="15" width="13.69921875" style="396" customWidth="1"/>
    <col min="16" max="16384" width="8.796875" style="396"/>
  </cols>
  <sheetData>
    <row r="1" spans="1:14" x14ac:dyDescent="0.2">
      <c r="B1" s="412"/>
      <c r="C1" s="412" t="s">
        <v>461</v>
      </c>
      <c r="D1" s="402"/>
      <c r="E1" s="411"/>
      <c r="F1" s="411"/>
      <c r="G1" s="411"/>
      <c r="H1" s="411"/>
      <c r="I1" s="410"/>
      <c r="J1" s="411"/>
      <c r="K1" s="410"/>
      <c r="L1" s="410"/>
    </row>
    <row r="2" spans="1:14" x14ac:dyDescent="0.2">
      <c r="B2" s="402"/>
      <c r="C2" s="426" t="s">
        <v>417</v>
      </c>
      <c r="D2" s="429" t="s">
        <v>417</v>
      </c>
      <c r="E2" s="397" t="s">
        <v>417</v>
      </c>
      <c r="F2" s="397" t="s">
        <v>417</v>
      </c>
      <c r="G2" s="396" t="s">
        <v>419</v>
      </c>
      <c r="H2" s="396" t="s">
        <v>420</v>
      </c>
      <c r="I2" s="434"/>
    </row>
    <row r="3" spans="1:14" x14ac:dyDescent="0.2">
      <c r="B3" s="409" t="s">
        <v>416</v>
      </c>
      <c r="C3" s="435" t="s">
        <v>415</v>
      </c>
      <c r="D3" s="436" t="s">
        <v>458</v>
      </c>
      <c r="E3" s="408" t="s">
        <v>414</v>
      </c>
      <c r="F3" s="408" t="s">
        <v>413</v>
      </c>
      <c r="I3" s="434" t="s">
        <v>457</v>
      </c>
    </row>
    <row r="4" spans="1:14" x14ac:dyDescent="0.2">
      <c r="B4" s="404"/>
      <c r="C4" s="406"/>
      <c r="D4" s="405"/>
      <c r="E4" s="403"/>
      <c r="F4" s="403"/>
      <c r="I4" s="405"/>
    </row>
    <row r="5" spans="1:14" s="388" customFormat="1" ht="17.850000000000001" customHeight="1" x14ac:dyDescent="0.2">
      <c r="B5" s="407" t="s">
        <v>412</v>
      </c>
      <c r="C5" s="406">
        <v>2808465</v>
      </c>
      <c r="D5" s="405">
        <v>48519</v>
      </c>
      <c r="E5" s="405">
        <v>12392</v>
      </c>
      <c r="F5" s="405">
        <v>953</v>
      </c>
      <c r="G5" s="414">
        <f>F5/40</f>
        <v>23.824999999999999</v>
      </c>
      <c r="H5" s="413">
        <f>E5*2</f>
        <v>24784</v>
      </c>
      <c r="I5" s="405">
        <v>136264708132</v>
      </c>
    </row>
    <row r="6" spans="1:14" x14ac:dyDescent="0.2">
      <c r="B6" s="404"/>
      <c r="C6" s="429"/>
      <c r="D6" s="405"/>
      <c r="E6" s="403"/>
      <c r="F6" s="403"/>
      <c r="I6" s="437"/>
      <c r="J6" s="421" t="s">
        <v>0</v>
      </c>
      <c r="K6" s="422" t="s">
        <v>459</v>
      </c>
      <c r="L6" s="421" t="s">
        <v>444</v>
      </c>
      <c r="M6" s="421" t="s">
        <v>460</v>
      </c>
      <c r="N6" s="421" t="s">
        <v>449</v>
      </c>
    </row>
    <row r="7" spans="1:14" ht="12.75" customHeight="1" x14ac:dyDescent="0.2">
      <c r="A7" s="396">
        <f>VLOOKUP(B7,Lists!B44:D82,3,)</f>
        <v>8</v>
      </c>
      <c r="B7" s="396" t="s">
        <v>313</v>
      </c>
      <c r="C7" s="429">
        <v>6961</v>
      </c>
      <c r="D7" s="405">
        <v>31859</v>
      </c>
      <c r="E7" s="397">
        <v>7838</v>
      </c>
      <c r="F7" s="397">
        <v>603</v>
      </c>
      <c r="G7" s="415">
        <f>F7/40</f>
        <v>15.074999999999999</v>
      </c>
      <c r="H7" s="399">
        <f>E7*2</f>
        <v>15676</v>
      </c>
      <c r="I7" s="437">
        <v>221767252</v>
      </c>
      <c r="J7" s="421">
        <v>1</v>
      </c>
      <c r="K7" s="422">
        <f ca="1">SUMIF($A$7:$I$45,$J7,$I$7:$I$46)</f>
        <v>4517816144</v>
      </c>
      <c r="L7" s="411">
        <f t="shared" ref="L7:L18" ca="1" si="0">SUMIF($A$7:$H$45,$J7,$C$7:$C$45)</f>
        <v>110897</v>
      </c>
      <c r="M7" s="422">
        <f ca="1">K7/L7</f>
        <v>40738.849058135027</v>
      </c>
      <c r="N7" s="422">
        <f ca="1">M7/2</f>
        <v>20369.424529067514</v>
      </c>
    </row>
    <row r="8" spans="1:14" ht="12.75" customHeight="1" x14ac:dyDescent="0.2">
      <c r="A8" s="396">
        <f>VLOOKUP(B8,Lists!B45:D83,3,)</f>
        <v>10</v>
      </c>
      <c r="B8" s="396" t="s">
        <v>312</v>
      </c>
      <c r="C8" s="429">
        <v>5647</v>
      </c>
      <c r="D8" s="405">
        <v>29033</v>
      </c>
      <c r="E8" s="397">
        <v>7323</v>
      </c>
      <c r="F8" s="397">
        <v>563</v>
      </c>
      <c r="G8" s="415">
        <f t="shared" ref="G8:G46" si="1">F8/40</f>
        <v>14.074999999999999</v>
      </c>
      <c r="H8" s="399">
        <f t="shared" ref="H8:H46" si="2">E8*2</f>
        <v>14646</v>
      </c>
      <c r="I8" s="437">
        <v>163948065</v>
      </c>
      <c r="J8" s="421">
        <v>2</v>
      </c>
      <c r="K8" s="422">
        <f t="shared" ref="K8:K18" ca="1" si="3">SUMIF($A$7:$I$45,$J8,$I$7:$I$46)</f>
        <v>6264134562</v>
      </c>
      <c r="L8" s="411">
        <f t="shared" ca="1" si="0"/>
        <v>161978</v>
      </c>
      <c r="M8" s="422">
        <f t="shared" ref="M8:M19" ca="1" si="4">K8/L8</f>
        <v>38672.749151119286</v>
      </c>
      <c r="N8" s="422">
        <f t="shared" ref="N8:N19" ca="1" si="5">M8/2</f>
        <v>19336.374575559643</v>
      </c>
    </row>
    <row r="9" spans="1:14" ht="12.75" customHeight="1" x14ac:dyDescent="0.2">
      <c r="A9" s="396">
        <f>VLOOKUP(B9,Lists!B46:D84,3,)</f>
        <v>11</v>
      </c>
      <c r="B9" s="396" t="s">
        <v>311</v>
      </c>
      <c r="C9" s="429">
        <v>79967</v>
      </c>
      <c r="D9" s="405">
        <v>49458</v>
      </c>
      <c r="E9" s="397">
        <v>12462</v>
      </c>
      <c r="F9" s="397">
        <v>959</v>
      </c>
      <c r="G9" s="415">
        <f t="shared" si="1"/>
        <v>23.975000000000001</v>
      </c>
      <c r="H9" s="399">
        <f t="shared" si="2"/>
        <v>24924</v>
      </c>
      <c r="I9" s="437">
        <v>3955028456</v>
      </c>
      <c r="J9" s="421">
        <v>3</v>
      </c>
      <c r="K9" s="422">
        <f ca="1">SUMIF($A$7:$I$45,$J9,$I$7:$I$46)</f>
        <v>5250068645</v>
      </c>
      <c r="L9" s="411">
        <f t="shared" ca="1" si="0"/>
        <v>143326</v>
      </c>
      <c r="M9" s="422">
        <f t="shared" ca="1" si="4"/>
        <v>36630.260001674505</v>
      </c>
      <c r="N9" s="422">
        <f t="shared" ca="1" si="5"/>
        <v>18315.130000837253</v>
      </c>
    </row>
    <row r="10" spans="1:14" ht="12.75" customHeight="1" x14ac:dyDescent="0.2">
      <c r="A10" s="396">
        <f>VLOOKUP(B10,Lists!B47:D85,3,)</f>
        <v>8</v>
      </c>
      <c r="B10" s="396" t="s">
        <v>310</v>
      </c>
      <c r="C10" s="429">
        <v>38179</v>
      </c>
      <c r="D10" s="405">
        <v>32316</v>
      </c>
      <c r="E10" s="397">
        <v>7710</v>
      </c>
      <c r="F10" s="397">
        <v>593</v>
      </c>
      <c r="G10" s="415">
        <f t="shared" si="1"/>
        <v>14.824999999999999</v>
      </c>
      <c r="H10" s="399">
        <f t="shared" si="2"/>
        <v>15420</v>
      </c>
      <c r="I10" s="437">
        <v>1233783921</v>
      </c>
      <c r="J10" s="421">
        <v>4</v>
      </c>
      <c r="K10" s="422">
        <f t="shared" ca="1" si="3"/>
        <v>11560676801</v>
      </c>
      <c r="L10" s="411">
        <f t="shared" ca="1" si="0"/>
        <v>238961</v>
      </c>
      <c r="M10" s="422">
        <f t="shared" ca="1" si="4"/>
        <v>48378.927109444638</v>
      </c>
      <c r="N10" s="422">
        <f t="shared" ca="1" si="5"/>
        <v>24189.463554722319</v>
      </c>
    </row>
    <row r="11" spans="1:14" ht="12.75" customHeight="1" x14ac:dyDescent="0.2">
      <c r="A11" s="396">
        <f>VLOOKUP(B11,Lists!B48:D86,3,)</f>
        <v>1</v>
      </c>
      <c r="B11" s="396" t="s">
        <v>309</v>
      </c>
      <c r="C11" s="429">
        <v>21885</v>
      </c>
      <c r="D11" s="405">
        <v>33885</v>
      </c>
      <c r="E11" s="397">
        <v>8649</v>
      </c>
      <c r="F11" s="397">
        <v>665</v>
      </c>
      <c r="G11" s="415">
        <f t="shared" si="1"/>
        <v>16.625</v>
      </c>
      <c r="H11" s="399">
        <f t="shared" si="2"/>
        <v>17298</v>
      </c>
      <c r="I11" s="437">
        <v>741582448</v>
      </c>
      <c r="J11" s="421">
        <v>5</v>
      </c>
      <c r="K11" s="422">
        <f t="shared" ca="1" si="3"/>
        <v>67835126078</v>
      </c>
      <c r="L11" s="411">
        <f t="shared" ca="1" si="0"/>
        <v>1116613</v>
      </c>
      <c r="M11" s="422">
        <f t="shared" ca="1" si="4"/>
        <v>60750.793764715258</v>
      </c>
      <c r="N11" s="422">
        <f t="shared" ca="1" si="5"/>
        <v>30375.396882357629</v>
      </c>
    </row>
    <row r="12" spans="1:14" ht="12.75" customHeight="1" x14ac:dyDescent="0.2">
      <c r="A12" s="396">
        <f>VLOOKUP(B12,Lists!B49:D87,3,)</f>
        <v>7</v>
      </c>
      <c r="B12" s="396" t="s">
        <v>308</v>
      </c>
      <c r="C12" s="429">
        <v>126714</v>
      </c>
      <c r="D12" s="405">
        <v>41736</v>
      </c>
      <c r="E12" s="397">
        <v>10388</v>
      </c>
      <c r="F12" s="397">
        <v>799</v>
      </c>
      <c r="G12" s="415">
        <f t="shared" si="1"/>
        <v>19.975000000000001</v>
      </c>
      <c r="H12" s="399">
        <f t="shared" si="2"/>
        <v>20776</v>
      </c>
      <c r="I12" s="437">
        <v>5288556604</v>
      </c>
      <c r="J12" s="421">
        <v>6</v>
      </c>
      <c r="K12" s="422">
        <f t="shared" ca="1" si="3"/>
        <v>11161069778</v>
      </c>
      <c r="L12" s="411">
        <f t="shared" ca="1" si="0"/>
        <v>260954</v>
      </c>
      <c r="M12" s="422">
        <f t="shared" ca="1" si="4"/>
        <v>42770.257508986258</v>
      </c>
      <c r="N12" s="422">
        <f t="shared" ca="1" si="5"/>
        <v>21385.128754493129</v>
      </c>
    </row>
    <row r="13" spans="1:14" ht="12.75" customHeight="1" x14ac:dyDescent="0.2">
      <c r="A13" s="396">
        <f>VLOOKUP(B13,Lists!B50:D88,3,)</f>
        <v>10</v>
      </c>
      <c r="B13" s="396" t="s">
        <v>307</v>
      </c>
      <c r="C13" s="429">
        <v>1225</v>
      </c>
      <c r="D13" s="405">
        <v>34013</v>
      </c>
      <c r="E13" s="397">
        <v>8633</v>
      </c>
      <c r="F13" s="397">
        <v>664</v>
      </c>
      <c r="G13" s="415">
        <f t="shared" si="1"/>
        <v>16.600000000000001</v>
      </c>
      <c r="H13" s="399">
        <f t="shared" si="2"/>
        <v>17266</v>
      </c>
      <c r="I13" s="437">
        <v>41666321</v>
      </c>
      <c r="J13" s="421">
        <v>7</v>
      </c>
      <c r="K13" s="422">
        <f t="shared" ca="1" si="3"/>
        <v>6703493467</v>
      </c>
      <c r="L13" s="411">
        <f t="shared" ca="1" si="0"/>
        <v>162841</v>
      </c>
      <c r="M13" s="422">
        <f t="shared" ca="1" si="4"/>
        <v>41165.882468174474</v>
      </c>
      <c r="N13" s="422">
        <f t="shared" ca="1" si="5"/>
        <v>20582.941234087237</v>
      </c>
    </row>
    <row r="14" spans="1:14" ht="12.75" customHeight="1" x14ac:dyDescent="0.2">
      <c r="A14" s="396">
        <f>VLOOKUP(B14,Lists!B51:D89,3,)</f>
        <v>7</v>
      </c>
      <c r="B14" s="396" t="s">
        <v>306</v>
      </c>
      <c r="C14" s="429">
        <v>35427</v>
      </c>
      <c r="D14" s="405">
        <v>39334</v>
      </c>
      <c r="E14" s="397">
        <v>10088</v>
      </c>
      <c r="F14" s="397">
        <v>776</v>
      </c>
      <c r="G14" s="415">
        <f t="shared" si="1"/>
        <v>19.399999999999999</v>
      </c>
      <c r="H14" s="399">
        <f t="shared" si="2"/>
        <v>20176</v>
      </c>
      <c r="I14" s="437">
        <v>1393481030</v>
      </c>
      <c r="J14" s="421">
        <v>8</v>
      </c>
      <c r="K14" s="422">
        <f t="shared" ca="1" si="3"/>
        <v>3335434628</v>
      </c>
      <c r="L14" s="411">
        <f t="shared" ca="1" si="0"/>
        <v>107563</v>
      </c>
      <c r="M14" s="422">
        <f t="shared" ca="1" si="4"/>
        <v>31009.126074951422</v>
      </c>
      <c r="N14" s="422">
        <f t="shared" ca="1" si="5"/>
        <v>15504.563037475711</v>
      </c>
    </row>
    <row r="15" spans="1:14" ht="12.75" customHeight="1" x14ac:dyDescent="0.2">
      <c r="A15" s="396">
        <f>VLOOKUP(B15,Lists!B52:D90,3,)</f>
        <v>8</v>
      </c>
      <c r="B15" s="396" t="s">
        <v>305</v>
      </c>
      <c r="C15" s="429">
        <v>10823</v>
      </c>
      <c r="D15" s="405">
        <v>28912</v>
      </c>
      <c r="E15" s="397">
        <v>6856</v>
      </c>
      <c r="F15" s="397">
        <v>527</v>
      </c>
      <c r="G15" s="415">
        <f t="shared" si="1"/>
        <v>13.175000000000001</v>
      </c>
      <c r="H15" s="399">
        <f t="shared" si="2"/>
        <v>13712</v>
      </c>
      <c r="I15" s="437">
        <v>312911187</v>
      </c>
      <c r="J15" s="421">
        <v>9</v>
      </c>
      <c r="K15" s="422">
        <f t="shared" ca="1" si="3"/>
        <v>3936840025</v>
      </c>
      <c r="L15" s="411">
        <f t="shared" ca="1" si="0"/>
        <v>122071</v>
      </c>
      <c r="M15" s="422">
        <f t="shared" ca="1" si="4"/>
        <v>32250.411850480457</v>
      </c>
      <c r="N15" s="422">
        <f t="shared" ca="1" si="5"/>
        <v>16125.205925240229</v>
      </c>
    </row>
    <row r="16" spans="1:14" ht="12.75" customHeight="1" x14ac:dyDescent="0.2">
      <c r="A16" s="396">
        <f>VLOOKUP(B16,Lists!B53:D91,3,)</f>
        <v>10</v>
      </c>
      <c r="B16" s="396" t="s">
        <v>304</v>
      </c>
      <c r="C16" s="429">
        <v>1656</v>
      </c>
      <c r="D16" s="405">
        <v>33364</v>
      </c>
      <c r="E16" s="397">
        <v>8480</v>
      </c>
      <c r="F16" s="397">
        <v>652</v>
      </c>
      <c r="G16" s="415">
        <f t="shared" si="1"/>
        <v>16.3</v>
      </c>
      <c r="H16" s="399">
        <f t="shared" si="2"/>
        <v>16960</v>
      </c>
      <c r="I16" s="437">
        <v>55250825</v>
      </c>
      <c r="J16" s="421">
        <v>10</v>
      </c>
      <c r="K16" s="422">
        <f t="shared" ca="1" si="3"/>
        <v>2382218592</v>
      </c>
      <c r="L16" s="411">
        <f t="shared" ca="1" si="0"/>
        <v>68193</v>
      </c>
      <c r="M16" s="422">
        <f ca="1">K16/L16</f>
        <v>34933.476925784169</v>
      </c>
      <c r="N16" s="422">
        <f t="shared" ca="1" si="5"/>
        <v>17466.738462892084</v>
      </c>
    </row>
    <row r="17" spans="1:14" ht="12.75" customHeight="1" x14ac:dyDescent="0.2">
      <c r="A17" s="396">
        <f>VLOOKUP(B17,Lists!B54:D92,3,)</f>
        <v>11</v>
      </c>
      <c r="B17" s="396" t="s">
        <v>303</v>
      </c>
      <c r="C17" s="429">
        <v>28931</v>
      </c>
      <c r="D17" s="405">
        <v>32619</v>
      </c>
      <c r="E17" s="397">
        <v>7872</v>
      </c>
      <c r="F17" s="397">
        <v>606</v>
      </c>
      <c r="G17" s="415">
        <f t="shared" si="1"/>
        <v>15.15</v>
      </c>
      <c r="H17" s="399">
        <f t="shared" si="2"/>
        <v>15744</v>
      </c>
      <c r="I17" s="437">
        <v>943700129</v>
      </c>
      <c r="J17" s="421">
        <v>11</v>
      </c>
      <c r="K17" s="422">
        <f t="shared" ca="1" si="3"/>
        <v>4898728585</v>
      </c>
      <c r="L17" s="411">
        <f t="shared" ca="1" si="0"/>
        <v>108898</v>
      </c>
      <c r="M17" s="422">
        <f t="shared" ca="1" si="4"/>
        <v>44984.559725614796</v>
      </c>
      <c r="N17" s="422">
        <f t="shared" ca="1" si="5"/>
        <v>22492.279862807398</v>
      </c>
    </row>
    <row r="18" spans="1:14" ht="12.75" customHeight="1" x14ac:dyDescent="0.2">
      <c r="A18" s="396">
        <f>VLOOKUP(B18,Lists!B55:D93,3,)</f>
        <v>10</v>
      </c>
      <c r="B18" s="396" t="s">
        <v>302</v>
      </c>
      <c r="C18" s="429">
        <v>792</v>
      </c>
      <c r="D18" s="405">
        <v>35575</v>
      </c>
      <c r="E18" s="397">
        <v>9334</v>
      </c>
      <c r="F18" s="397">
        <v>718</v>
      </c>
      <c r="G18" s="415">
        <f t="shared" si="1"/>
        <v>17.95</v>
      </c>
      <c r="H18" s="399">
        <f t="shared" si="2"/>
        <v>18668</v>
      </c>
      <c r="I18" s="437">
        <v>28175148</v>
      </c>
      <c r="J18" s="421">
        <v>12</v>
      </c>
      <c r="K18" s="422">
        <f t="shared" ca="1" si="3"/>
        <v>7620981361</v>
      </c>
      <c r="L18" s="411">
        <f t="shared" ca="1" si="0"/>
        <v>196939</v>
      </c>
      <c r="M18" s="422">
        <f t="shared" ca="1" si="4"/>
        <v>38697.166945094672</v>
      </c>
      <c r="N18" s="422">
        <f t="shared" ca="1" si="5"/>
        <v>19348.583472547336</v>
      </c>
    </row>
    <row r="19" spans="1:14" ht="12.75" customHeight="1" x14ac:dyDescent="0.2">
      <c r="A19" s="396">
        <f>VLOOKUP(B19,Lists!B56:D94,3,)</f>
        <v>8</v>
      </c>
      <c r="B19" s="396" t="s">
        <v>301</v>
      </c>
      <c r="C19" s="429">
        <v>34271</v>
      </c>
      <c r="D19" s="405">
        <v>32899</v>
      </c>
      <c r="E19" s="397">
        <v>8077</v>
      </c>
      <c r="F19" s="397">
        <v>621</v>
      </c>
      <c r="G19" s="415">
        <f t="shared" si="1"/>
        <v>15.525</v>
      </c>
      <c r="H19" s="399">
        <f t="shared" si="2"/>
        <v>16154</v>
      </c>
      <c r="I19" s="437">
        <v>1127470855</v>
      </c>
      <c r="J19" s="421"/>
      <c r="K19" s="422">
        <f>I5</f>
        <v>136264708132</v>
      </c>
      <c r="L19" s="411">
        <f>C5</f>
        <v>2808465</v>
      </c>
      <c r="M19" s="422">
        <f t="shared" si="4"/>
        <v>48519.283000500276</v>
      </c>
      <c r="N19" s="422">
        <f t="shared" si="5"/>
        <v>24259.641500250138</v>
      </c>
    </row>
    <row r="20" spans="1:14" ht="12.75" customHeight="1" x14ac:dyDescent="0.2">
      <c r="A20" s="396">
        <f>VLOOKUP(B20,Lists!B57:D95,3,)</f>
        <v>2</v>
      </c>
      <c r="B20" s="396" t="s">
        <v>300</v>
      </c>
      <c r="C20" s="429">
        <v>22522</v>
      </c>
      <c r="D20" s="405">
        <v>33524</v>
      </c>
      <c r="E20" s="397">
        <v>8579</v>
      </c>
      <c r="F20" s="397">
        <v>660</v>
      </c>
      <c r="G20" s="415">
        <f t="shared" si="1"/>
        <v>16.5</v>
      </c>
      <c r="H20" s="399">
        <f t="shared" si="2"/>
        <v>17158</v>
      </c>
      <c r="I20" s="437">
        <v>755036716</v>
      </c>
      <c r="J20" s="421"/>
      <c r="K20" s="421"/>
      <c r="L20" s="421"/>
      <c r="M20" s="421"/>
      <c r="N20" s="421"/>
    </row>
    <row r="21" spans="1:14" ht="12.75" customHeight="1" x14ac:dyDescent="0.2">
      <c r="A21" s="396">
        <f>VLOOKUP(B21,Lists!B58:D96,3,)</f>
        <v>3</v>
      </c>
      <c r="B21" s="396" t="s">
        <v>299</v>
      </c>
      <c r="C21" s="429">
        <v>14857</v>
      </c>
      <c r="D21" s="405">
        <v>33221</v>
      </c>
      <c r="E21" s="397">
        <v>8328</v>
      </c>
      <c r="F21" s="397">
        <v>641</v>
      </c>
      <c r="G21" s="415">
        <f t="shared" si="1"/>
        <v>16.024999999999999</v>
      </c>
      <c r="H21" s="399">
        <f t="shared" si="2"/>
        <v>16656</v>
      </c>
      <c r="I21" s="437">
        <v>493561572</v>
      </c>
      <c r="J21" s="421"/>
      <c r="K21" s="421"/>
      <c r="L21" s="421"/>
      <c r="M21" s="421"/>
      <c r="N21" s="421"/>
    </row>
    <row r="22" spans="1:14" ht="12.75" customHeight="1" x14ac:dyDescent="0.2">
      <c r="A22" s="396">
        <f>VLOOKUP(B22,Lists!B59:D97,3,)</f>
        <v>1</v>
      </c>
      <c r="B22" s="396" t="s">
        <v>298</v>
      </c>
      <c r="C22" s="429">
        <v>8001</v>
      </c>
      <c r="D22" s="405">
        <v>32130</v>
      </c>
      <c r="E22" s="397">
        <v>7998</v>
      </c>
      <c r="F22" s="397">
        <v>615</v>
      </c>
      <c r="G22" s="415">
        <f t="shared" si="1"/>
        <v>15.375</v>
      </c>
      <c r="H22" s="399">
        <f t="shared" si="2"/>
        <v>15996</v>
      </c>
      <c r="I22" s="437">
        <v>257071607</v>
      </c>
      <c r="J22" s="421"/>
      <c r="K22" s="421"/>
      <c r="L22" s="421"/>
      <c r="M22" s="421"/>
      <c r="N22" s="421"/>
    </row>
    <row r="23" spans="1:14" ht="12.75" customHeight="1" x14ac:dyDescent="0.2">
      <c r="A23" s="396">
        <f>VLOOKUP(B23,Lists!B60:D98,3,)</f>
        <v>5</v>
      </c>
      <c r="B23" s="396" t="s">
        <v>297</v>
      </c>
      <c r="C23" s="429">
        <v>1116613</v>
      </c>
      <c r="D23" s="405">
        <v>60751</v>
      </c>
      <c r="E23" s="397">
        <v>16035</v>
      </c>
      <c r="F23" s="397">
        <v>1233</v>
      </c>
      <c r="G23" s="415">
        <f t="shared" si="1"/>
        <v>30.824999999999999</v>
      </c>
      <c r="H23" s="399">
        <f t="shared" si="2"/>
        <v>32070</v>
      </c>
      <c r="I23" s="437">
        <v>67835126078</v>
      </c>
      <c r="J23" s="421"/>
      <c r="K23" s="421"/>
      <c r="L23" s="421"/>
      <c r="M23" s="421"/>
      <c r="N23" s="421"/>
    </row>
    <row r="24" spans="1:14" ht="12.75" customHeight="1" x14ac:dyDescent="0.2">
      <c r="A24" s="396">
        <f>VLOOKUP(B24,Lists!B61:D99,3,)</f>
        <v>1</v>
      </c>
      <c r="B24" s="396" t="s">
        <v>296</v>
      </c>
      <c r="C24" s="429">
        <v>81011</v>
      </c>
      <c r="D24" s="405">
        <v>43441</v>
      </c>
      <c r="E24" s="397">
        <v>10672</v>
      </c>
      <c r="F24" s="397">
        <v>821</v>
      </c>
      <c r="G24" s="415">
        <f t="shared" si="1"/>
        <v>20.524999999999999</v>
      </c>
      <c r="H24" s="399">
        <f t="shared" si="2"/>
        <v>21344</v>
      </c>
      <c r="I24" s="437">
        <v>3519162089</v>
      </c>
      <c r="J24" s="421"/>
      <c r="K24" s="421"/>
      <c r="L24" s="421"/>
      <c r="M24" s="421"/>
      <c r="N24" s="421"/>
    </row>
    <row r="25" spans="1:14" ht="12.75" customHeight="1" x14ac:dyDescent="0.2">
      <c r="A25" s="396">
        <f>VLOOKUP(B25,Lists!B62:D100,3,)</f>
        <v>9</v>
      </c>
      <c r="B25" s="396" t="s">
        <v>295</v>
      </c>
      <c r="C25" s="429">
        <v>13384</v>
      </c>
      <c r="D25" s="405">
        <v>32105</v>
      </c>
      <c r="E25" s="397">
        <v>7928</v>
      </c>
      <c r="F25" s="397">
        <v>610</v>
      </c>
      <c r="G25" s="415">
        <f t="shared" si="1"/>
        <v>15.25</v>
      </c>
      <c r="H25" s="399">
        <f t="shared" si="2"/>
        <v>15856</v>
      </c>
      <c r="I25" s="437">
        <v>429686993</v>
      </c>
      <c r="J25" s="421"/>
      <c r="K25" s="421" t="s">
        <v>450</v>
      </c>
      <c r="L25" s="421" t="s">
        <v>451</v>
      </c>
      <c r="M25" s="421" t="s">
        <v>452</v>
      </c>
      <c r="N25" s="421"/>
    </row>
    <row r="26" spans="1:14" ht="12.75" customHeight="1" x14ac:dyDescent="0.2">
      <c r="A26" s="396">
        <f>VLOOKUP(B26,Lists!B63:D101,3,)</f>
        <v>9</v>
      </c>
      <c r="B26" s="396" t="s">
        <v>294</v>
      </c>
      <c r="C26" s="429">
        <v>6726</v>
      </c>
      <c r="D26" s="405">
        <v>40167</v>
      </c>
      <c r="E26" s="397">
        <v>9586</v>
      </c>
      <c r="F26" s="397">
        <v>737</v>
      </c>
      <c r="G26" s="415">
        <f t="shared" si="1"/>
        <v>18.425000000000001</v>
      </c>
      <c r="H26" s="399">
        <f t="shared" si="2"/>
        <v>19172</v>
      </c>
      <c r="I26" s="437">
        <v>270162204</v>
      </c>
      <c r="J26" s="421">
        <v>1</v>
      </c>
      <c r="K26" s="422">
        <f ca="1">L26/40</f>
        <v>21.218150551111993</v>
      </c>
      <c r="L26" s="438">
        <f ca="1">M26/4</f>
        <v>848.72602204447969</v>
      </c>
      <c r="M26" s="422">
        <f ca="1">M7/12</f>
        <v>3394.9040881779188</v>
      </c>
      <c r="N26" s="421"/>
    </row>
    <row r="27" spans="1:14" ht="12.75" customHeight="1" x14ac:dyDescent="0.2">
      <c r="A27" s="396">
        <f>VLOOKUP(B27,Lists!B64:D102,3,)</f>
        <v>2</v>
      </c>
      <c r="B27" s="396" t="s">
        <v>293</v>
      </c>
      <c r="C27" s="429">
        <v>23380</v>
      </c>
      <c r="D27" s="405">
        <v>33679</v>
      </c>
      <c r="E27" s="397">
        <v>8616</v>
      </c>
      <c r="F27" s="397">
        <v>663</v>
      </c>
      <c r="G27" s="415">
        <f t="shared" si="1"/>
        <v>16.574999999999999</v>
      </c>
      <c r="H27" s="399">
        <f t="shared" si="2"/>
        <v>17232</v>
      </c>
      <c r="I27" s="437">
        <v>787405854</v>
      </c>
      <c r="J27" s="421">
        <v>2</v>
      </c>
      <c r="K27" s="422">
        <f t="shared" ref="K27:K37" ca="1" si="6">L27/40</f>
        <v>20.142056849541294</v>
      </c>
      <c r="L27" s="438">
        <f t="shared" ref="L27:L37" ca="1" si="7">M27/4</f>
        <v>805.68227398165175</v>
      </c>
      <c r="M27" s="422">
        <f t="shared" ref="M27:M37" ca="1" si="8">M8/12</f>
        <v>3222.729095926607</v>
      </c>
      <c r="N27" s="421"/>
    </row>
    <row r="28" spans="1:14" ht="12.75" customHeight="1" x14ac:dyDescent="0.2">
      <c r="A28" s="396">
        <f>VLOOKUP(B28,Lists!B65:D103,3,)</f>
        <v>10</v>
      </c>
      <c r="B28" s="396" t="s">
        <v>292</v>
      </c>
      <c r="C28" s="429">
        <v>2910</v>
      </c>
      <c r="D28" s="405">
        <v>30862</v>
      </c>
      <c r="E28" s="397">
        <v>7644</v>
      </c>
      <c r="F28" s="397">
        <v>588</v>
      </c>
      <c r="G28" s="415">
        <f t="shared" si="1"/>
        <v>14.7</v>
      </c>
      <c r="H28" s="399">
        <f t="shared" si="2"/>
        <v>15288</v>
      </c>
      <c r="I28" s="437">
        <v>89808896</v>
      </c>
      <c r="J28" s="421">
        <v>3</v>
      </c>
      <c r="K28" s="422">
        <f t="shared" ca="1" si="6"/>
        <v>19.078260417538807</v>
      </c>
      <c r="L28" s="438">
        <f t="shared" ca="1" si="7"/>
        <v>763.13041670155224</v>
      </c>
      <c r="M28" s="422">
        <f t="shared" ca="1" si="8"/>
        <v>3052.5216668062089</v>
      </c>
      <c r="N28" s="421"/>
    </row>
    <row r="29" spans="1:14" ht="12.75" customHeight="1" x14ac:dyDescent="0.2">
      <c r="A29" s="396">
        <f>VLOOKUP(B29,Lists!B66:D104,3,)</f>
        <v>2</v>
      </c>
      <c r="B29" s="396" t="s">
        <v>291</v>
      </c>
      <c r="C29" s="429">
        <v>13428</v>
      </c>
      <c r="D29" s="405">
        <v>33341</v>
      </c>
      <c r="E29" s="397">
        <v>8447</v>
      </c>
      <c r="F29" s="397">
        <v>650</v>
      </c>
      <c r="G29" s="415">
        <f t="shared" si="1"/>
        <v>16.25</v>
      </c>
      <c r="H29" s="399">
        <f t="shared" si="2"/>
        <v>16894</v>
      </c>
      <c r="I29" s="437">
        <v>447709442</v>
      </c>
      <c r="J29" s="421">
        <v>4</v>
      </c>
      <c r="K29" s="422">
        <f t="shared" ca="1" si="6"/>
        <v>25.197357869502415</v>
      </c>
      <c r="L29" s="438">
        <f t="shared" ca="1" si="7"/>
        <v>1007.8943147800966</v>
      </c>
      <c r="M29" s="422">
        <f t="shared" ca="1" si="8"/>
        <v>4031.5772591203863</v>
      </c>
      <c r="N29" s="421"/>
    </row>
    <row r="30" spans="1:14" ht="12.75" customHeight="1" x14ac:dyDescent="0.2">
      <c r="A30" s="396">
        <f>VLOOKUP(B30,Lists!B67:D105,3,)</f>
        <v>8</v>
      </c>
      <c r="B30" s="396" t="s">
        <v>290</v>
      </c>
      <c r="C30" s="429">
        <v>17329</v>
      </c>
      <c r="D30" s="405">
        <v>25362</v>
      </c>
      <c r="E30" s="397">
        <v>5915</v>
      </c>
      <c r="F30" s="397">
        <v>455</v>
      </c>
      <c r="G30" s="415">
        <f t="shared" si="1"/>
        <v>11.375</v>
      </c>
      <c r="H30" s="399">
        <f t="shared" si="2"/>
        <v>11830</v>
      </c>
      <c r="I30" s="437">
        <v>439501413</v>
      </c>
      <c r="J30" s="421">
        <v>5</v>
      </c>
      <c r="K30" s="422">
        <f t="shared" ca="1" si="6"/>
        <v>31.64103841912253</v>
      </c>
      <c r="L30" s="438">
        <f t="shared" ca="1" si="7"/>
        <v>1265.6415367649013</v>
      </c>
      <c r="M30" s="422">
        <f t="shared" ca="1" si="8"/>
        <v>5062.5661470596051</v>
      </c>
      <c r="N30" s="421"/>
    </row>
    <row r="31" spans="1:14" ht="12.75" customHeight="1" x14ac:dyDescent="0.2">
      <c r="A31" s="396">
        <f>VLOOKUP(B31,Lists!B68:D106,3,)</f>
        <v>2</v>
      </c>
      <c r="B31" s="396" t="s">
        <v>289</v>
      </c>
      <c r="C31" s="429">
        <v>5908</v>
      </c>
      <c r="D31" s="405">
        <v>29296</v>
      </c>
      <c r="E31" s="397">
        <v>7312</v>
      </c>
      <c r="F31" s="397">
        <v>562</v>
      </c>
      <c r="G31" s="415">
        <f t="shared" si="1"/>
        <v>14.05</v>
      </c>
      <c r="H31" s="399">
        <f t="shared" si="2"/>
        <v>14624</v>
      </c>
      <c r="I31" s="437">
        <v>173082727</v>
      </c>
      <c r="J31" s="421">
        <v>6</v>
      </c>
      <c r="K31" s="422">
        <f t="shared" ca="1" si="6"/>
        <v>22.276175785930342</v>
      </c>
      <c r="L31" s="438">
        <f t="shared" ca="1" si="7"/>
        <v>891.04703143721372</v>
      </c>
      <c r="M31" s="422">
        <f t="shared" ca="1" si="8"/>
        <v>3564.1881257488549</v>
      </c>
      <c r="N31" s="421"/>
    </row>
    <row r="32" spans="1:14" ht="12.75" customHeight="1" x14ac:dyDescent="0.2">
      <c r="A32" s="396">
        <f>VLOOKUP(B32,Lists!B69:D107,3,)</f>
        <v>10</v>
      </c>
      <c r="B32" s="396" t="s">
        <v>288</v>
      </c>
      <c r="C32" s="429">
        <v>2973</v>
      </c>
      <c r="D32" s="405">
        <v>37157</v>
      </c>
      <c r="E32" s="397">
        <v>9248</v>
      </c>
      <c r="F32" s="397">
        <v>711</v>
      </c>
      <c r="G32" s="415">
        <f t="shared" si="1"/>
        <v>17.774999999999999</v>
      </c>
      <c r="H32" s="399">
        <f t="shared" si="2"/>
        <v>18496</v>
      </c>
      <c r="I32" s="437">
        <v>110467355</v>
      </c>
      <c r="J32" s="421">
        <v>7</v>
      </c>
      <c r="K32" s="422">
        <f t="shared" ca="1" si="6"/>
        <v>21.440563785507539</v>
      </c>
      <c r="L32" s="438">
        <f t="shared" ca="1" si="7"/>
        <v>857.62255142030153</v>
      </c>
      <c r="M32" s="422">
        <f t="shared" ca="1" si="8"/>
        <v>3430.4902056812061</v>
      </c>
      <c r="N32" s="421"/>
    </row>
    <row r="33" spans="1:18" ht="12.75" customHeight="1" x14ac:dyDescent="0.2">
      <c r="A33" s="396">
        <f>VLOOKUP(B33,Lists!B70:D108,3,)</f>
        <v>6</v>
      </c>
      <c r="B33" s="396" t="s">
        <v>287</v>
      </c>
      <c r="C33" s="429">
        <v>260954</v>
      </c>
      <c r="D33" s="405">
        <v>42770</v>
      </c>
      <c r="E33" s="397">
        <v>10678</v>
      </c>
      <c r="F33" s="397">
        <v>821</v>
      </c>
      <c r="G33" s="415">
        <f t="shared" si="1"/>
        <v>20.524999999999999</v>
      </c>
      <c r="H33" s="399">
        <f t="shared" si="2"/>
        <v>21356</v>
      </c>
      <c r="I33" s="437">
        <v>11161069778</v>
      </c>
      <c r="J33" s="421">
        <v>8</v>
      </c>
      <c r="K33" s="422">
        <f t="shared" ca="1" si="6"/>
        <v>16.150586497370533</v>
      </c>
      <c r="L33" s="438">
        <f t="shared" ca="1" si="7"/>
        <v>646.02345989482126</v>
      </c>
      <c r="M33" s="422">
        <f t="shared" ca="1" si="8"/>
        <v>2584.093839579285</v>
      </c>
      <c r="N33" s="421"/>
    </row>
    <row r="34" spans="1:18" ht="12.75" customHeight="1" x14ac:dyDescent="0.2">
      <c r="A34" s="396">
        <f>VLOOKUP(B34,Lists!B71:D109,3,)</f>
        <v>3</v>
      </c>
      <c r="B34" s="396" t="s">
        <v>286</v>
      </c>
      <c r="C34" s="429">
        <v>5181</v>
      </c>
      <c r="D34" s="405">
        <v>31173</v>
      </c>
      <c r="E34" s="397">
        <v>7595</v>
      </c>
      <c r="F34" s="397">
        <v>584</v>
      </c>
      <c r="G34" s="415">
        <f t="shared" si="1"/>
        <v>14.6</v>
      </c>
      <c r="H34" s="399">
        <f t="shared" si="2"/>
        <v>15190</v>
      </c>
      <c r="I34" s="437">
        <v>161508363</v>
      </c>
      <c r="J34" s="421">
        <v>9</v>
      </c>
      <c r="K34" s="422">
        <f t="shared" ca="1" si="6"/>
        <v>16.797089505458572</v>
      </c>
      <c r="L34" s="438">
        <f t="shared" ca="1" si="7"/>
        <v>671.8835802183429</v>
      </c>
      <c r="M34" s="422">
        <f t="shared" ca="1" si="8"/>
        <v>2687.5343208733716</v>
      </c>
      <c r="N34" s="421"/>
    </row>
    <row r="35" spans="1:18" ht="12.75" customHeight="1" x14ac:dyDescent="0.2">
      <c r="A35" s="396">
        <f>VLOOKUP(B35,Lists!B72:D110,3,)</f>
        <v>3</v>
      </c>
      <c r="B35" s="396" t="s">
        <v>285</v>
      </c>
      <c r="C35" s="429">
        <v>45509</v>
      </c>
      <c r="D35" s="405">
        <v>37199</v>
      </c>
      <c r="E35" s="397">
        <v>9358</v>
      </c>
      <c r="F35" s="397">
        <v>720</v>
      </c>
      <c r="G35" s="415">
        <f t="shared" si="1"/>
        <v>18</v>
      </c>
      <c r="H35" s="399">
        <f t="shared" si="2"/>
        <v>18716</v>
      </c>
      <c r="I35" s="437">
        <v>1692885366</v>
      </c>
      <c r="J35" s="421">
        <v>10</v>
      </c>
      <c r="K35" s="422">
        <f t="shared" ca="1" si="6"/>
        <v>18.194519232179253</v>
      </c>
      <c r="L35" s="438">
        <f t="shared" ca="1" si="7"/>
        <v>727.78076928717019</v>
      </c>
      <c r="M35" s="422">
        <f t="shared" ca="1" si="8"/>
        <v>2911.1230771486807</v>
      </c>
      <c r="N35" s="421"/>
    </row>
    <row r="36" spans="1:18" ht="12.75" customHeight="1" x14ac:dyDescent="0.2">
      <c r="A36" s="396">
        <f>VLOOKUP(B36,Lists!B73:D111,3,)</f>
        <v>9</v>
      </c>
      <c r="B36" s="396" t="s">
        <v>284</v>
      </c>
      <c r="C36" s="429">
        <v>2008</v>
      </c>
      <c r="D36" s="405">
        <v>31775</v>
      </c>
      <c r="E36" s="397">
        <v>7948</v>
      </c>
      <c r="F36" s="397">
        <v>611</v>
      </c>
      <c r="G36" s="415">
        <f t="shared" si="1"/>
        <v>15.275</v>
      </c>
      <c r="H36" s="399">
        <f t="shared" si="2"/>
        <v>15896</v>
      </c>
      <c r="I36" s="437">
        <v>63803560</v>
      </c>
      <c r="J36" s="421">
        <v>11</v>
      </c>
      <c r="K36" s="422">
        <f t="shared" ca="1" si="6"/>
        <v>23.429458190424373</v>
      </c>
      <c r="L36" s="438">
        <f t="shared" ca="1" si="7"/>
        <v>937.17832761697491</v>
      </c>
      <c r="M36" s="422">
        <f t="shared" ca="1" si="8"/>
        <v>3748.7133104678996</v>
      </c>
      <c r="N36" s="421"/>
    </row>
    <row r="37" spans="1:18" ht="12.75" customHeight="1" x14ac:dyDescent="0.2">
      <c r="A37" s="396">
        <f>VLOOKUP(B37,Lists!B74:D112,3,)</f>
        <v>4</v>
      </c>
      <c r="B37" s="396" t="s">
        <v>283</v>
      </c>
      <c r="C37" s="429">
        <v>238961</v>
      </c>
      <c r="D37" s="405">
        <v>48379</v>
      </c>
      <c r="E37" s="397">
        <v>12179</v>
      </c>
      <c r="F37" s="397">
        <v>937</v>
      </c>
      <c r="G37" s="415">
        <f t="shared" si="1"/>
        <v>23.425000000000001</v>
      </c>
      <c r="H37" s="399">
        <f t="shared" si="2"/>
        <v>24358</v>
      </c>
      <c r="I37" s="437">
        <v>11560676801</v>
      </c>
      <c r="J37" s="421">
        <v>12</v>
      </c>
      <c r="K37" s="422">
        <f t="shared" ca="1" si="6"/>
        <v>20.154774450570141</v>
      </c>
      <c r="L37" s="438">
        <f t="shared" ca="1" si="7"/>
        <v>806.19097802280567</v>
      </c>
      <c r="M37" s="422">
        <f t="shared" ca="1" si="8"/>
        <v>3224.7639120912227</v>
      </c>
      <c r="N37" s="421"/>
    </row>
    <row r="38" spans="1:18" ht="12.75" customHeight="1" x14ac:dyDescent="0.2">
      <c r="A38" s="396">
        <f>VLOOKUP(B38,Lists!B75:D113,3,)</f>
        <v>12</v>
      </c>
      <c r="B38" s="396" t="s">
        <v>282</v>
      </c>
      <c r="C38" s="429">
        <v>196939</v>
      </c>
      <c r="D38" s="405">
        <v>38697</v>
      </c>
      <c r="E38" s="397">
        <v>9578</v>
      </c>
      <c r="F38" s="397">
        <v>737</v>
      </c>
      <c r="G38" s="415">
        <f t="shared" si="1"/>
        <v>18.425000000000001</v>
      </c>
      <c r="H38" s="399">
        <f t="shared" si="2"/>
        <v>19156</v>
      </c>
      <c r="I38" s="437">
        <v>7620981361</v>
      </c>
      <c r="J38" s="421">
        <v>13</v>
      </c>
      <c r="K38" s="422">
        <f>L38/40</f>
        <v>25.270459896093893</v>
      </c>
      <c r="L38" s="438">
        <f>M38/4</f>
        <v>1010.8183958437558</v>
      </c>
      <c r="M38" s="422">
        <f>M19/12</f>
        <v>4043.273583375023</v>
      </c>
    </row>
    <row r="39" spans="1:18" ht="12.75" customHeight="1" x14ac:dyDescent="0.2">
      <c r="A39" s="396">
        <f>VLOOKUP(B39,Lists!B76:D114,3,)</f>
        <v>10</v>
      </c>
      <c r="B39" s="396" t="s">
        <v>281</v>
      </c>
      <c r="C39" s="429">
        <v>9749</v>
      </c>
      <c r="D39" s="405">
        <v>31632</v>
      </c>
      <c r="E39" s="397">
        <v>8000</v>
      </c>
      <c r="F39" s="397">
        <v>615</v>
      </c>
      <c r="G39" s="415">
        <f t="shared" si="1"/>
        <v>15.375</v>
      </c>
      <c r="H39" s="399">
        <f t="shared" si="2"/>
        <v>16000</v>
      </c>
      <c r="I39" s="437">
        <v>308378108</v>
      </c>
    </row>
    <row r="40" spans="1:18" ht="12.75" customHeight="1" x14ac:dyDescent="0.2">
      <c r="A40" s="396">
        <f>VLOOKUP(B40,Lists!B77:D115,3,)</f>
        <v>2</v>
      </c>
      <c r="B40" s="396" t="s">
        <v>280</v>
      </c>
      <c r="C40" s="429">
        <v>96740</v>
      </c>
      <c r="D40" s="405">
        <v>42391</v>
      </c>
      <c r="E40" s="397">
        <v>10563</v>
      </c>
      <c r="F40" s="397">
        <v>813</v>
      </c>
      <c r="G40" s="415">
        <f t="shared" si="1"/>
        <v>20.324999999999999</v>
      </c>
      <c r="H40" s="399">
        <f t="shared" si="2"/>
        <v>21126</v>
      </c>
      <c r="I40" s="437">
        <v>4100899823</v>
      </c>
    </row>
    <row r="41" spans="1:18" ht="12.75" customHeight="1" x14ac:dyDescent="0.2">
      <c r="A41" s="396">
        <f>VLOOKUP(B41,Lists!B78:D116,3,)</f>
        <v>7</v>
      </c>
      <c r="B41" s="396" t="s">
        <v>279</v>
      </c>
      <c r="C41" s="429">
        <v>700</v>
      </c>
      <c r="D41" s="405">
        <v>30651</v>
      </c>
      <c r="E41" s="397">
        <v>7543</v>
      </c>
      <c r="F41" s="397">
        <v>580</v>
      </c>
      <c r="G41" s="415">
        <f t="shared" si="1"/>
        <v>14.5</v>
      </c>
      <c r="H41" s="399">
        <f t="shared" si="2"/>
        <v>15086</v>
      </c>
      <c r="I41" s="437">
        <v>21455833</v>
      </c>
    </row>
    <row r="42" spans="1:18" ht="12.75" customHeight="1" x14ac:dyDescent="0.2">
      <c r="A42" s="396">
        <f>VLOOKUP(B42,Lists!B79:D117,3,)</f>
        <v>10</v>
      </c>
      <c r="B42" s="396" t="s">
        <v>278</v>
      </c>
      <c r="C42" s="429">
        <v>26631</v>
      </c>
      <c r="D42" s="405">
        <v>35813</v>
      </c>
      <c r="E42" s="397">
        <v>8875</v>
      </c>
      <c r="F42" s="397">
        <v>683</v>
      </c>
      <c r="G42" s="415">
        <f t="shared" si="1"/>
        <v>17.074999999999999</v>
      </c>
      <c r="H42" s="399">
        <f t="shared" si="2"/>
        <v>17750</v>
      </c>
      <c r="I42" s="437">
        <v>953741961</v>
      </c>
    </row>
    <row r="43" spans="1:18" ht="12.75" customHeight="1" x14ac:dyDescent="0.2">
      <c r="A43" s="396">
        <f>VLOOKUP(B43,Lists!B80:D118,3,)</f>
        <v>3</v>
      </c>
      <c r="B43" s="396" t="s">
        <v>277</v>
      </c>
      <c r="C43" s="429">
        <v>77779</v>
      </c>
      <c r="D43" s="405">
        <v>37312</v>
      </c>
      <c r="E43" s="397">
        <v>9219</v>
      </c>
      <c r="F43" s="397">
        <v>709</v>
      </c>
      <c r="G43" s="415">
        <f t="shared" si="1"/>
        <v>17.725000000000001</v>
      </c>
      <c r="H43" s="399">
        <f t="shared" si="2"/>
        <v>18438</v>
      </c>
      <c r="I43" s="437">
        <v>2902113344</v>
      </c>
    </row>
    <row r="44" spans="1:18" ht="12.75" customHeight="1" x14ac:dyDescent="0.2">
      <c r="A44" s="396">
        <f>VLOOKUP(B44,Lists!B81:D119,3,)</f>
        <v>10</v>
      </c>
      <c r="B44" s="396" t="s">
        <v>276</v>
      </c>
      <c r="C44" s="429">
        <v>16610</v>
      </c>
      <c r="D44" s="405">
        <v>37976</v>
      </c>
      <c r="E44" s="397">
        <v>9282</v>
      </c>
      <c r="F44" s="397">
        <v>714</v>
      </c>
      <c r="G44" s="415">
        <f t="shared" si="1"/>
        <v>17.850000000000001</v>
      </c>
      <c r="H44" s="399">
        <f t="shared" si="2"/>
        <v>18564</v>
      </c>
      <c r="I44" s="437">
        <v>630781913</v>
      </c>
    </row>
    <row r="45" spans="1:18" ht="12.75" customHeight="1" x14ac:dyDescent="0.2">
      <c r="A45" s="396">
        <f>VLOOKUP(B45,Lists!B82:D120,3,)</f>
        <v>9</v>
      </c>
      <c r="B45" s="396" t="s">
        <v>275</v>
      </c>
      <c r="C45" s="429">
        <v>99953</v>
      </c>
      <c r="D45" s="405">
        <v>31747</v>
      </c>
      <c r="E45" s="397">
        <v>7788</v>
      </c>
      <c r="F45" s="397">
        <v>599</v>
      </c>
      <c r="G45" s="415">
        <f t="shared" si="1"/>
        <v>14.975</v>
      </c>
      <c r="H45" s="399">
        <f t="shared" si="2"/>
        <v>15576</v>
      </c>
      <c r="I45" s="437">
        <v>3173187268</v>
      </c>
      <c r="J45" s="421"/>
      <c r="K45" s="422"/>
      <c r="L45" s="422"/>
      <c r="M45" s="422"/>
      <c r="N45" s="422"/>
    </row>
    <row r="46" spans="1:18" ht="12.75" customHeight="1" x14ac:dyDescent="0.2">
      <c r="A46" s="396" t="e">
        <f>VLOOKUP(B46,Lists!B83:D121,3,)</f>
        <v>#N/A</v>
      </c>
      <c r="B46" s="396" t="s">
        <v>418</v>
      </c>
      <c r="C46" s="429">
        <v>9323</v>
      </c>
      <c r="D46" s="405">
        <v>86954</v>
      </c>
      <c r="E46" s="397">
        <v>20339</v>
      </c>
      <c r="F46" s="397">
        <v>1565</v>
      </c>
      <c r="G46" s="415">
        <f t="shared" si="1"/>
        <v>39.125</v>
      </c>
      <c r="H46" s="399">
        <f t="shared" si="2"/>
        <v>40678</v>
      </c>
      <c r="I46" s="437">
        <v>810671287</v>
      </c>
      <c r="J46" s="421"/>
      <c r="K46" s="422"/>
      <c r="L46" s="422"/>
      <c r="M46" s="422"/>
      <c r="N46" s="422"/>
    </row>
    <row r="47" spans="1:18" ht="12.75" customHeight="1" x14ac:dyDescent="0.2">
      <c r="N47" s="421"/>
      <c r="O47" s="422"/>
      <c r="P47" s="422"/>
      <c r="Q47" s="422"/>
      <c r="R47" s="422"/>
    </row>
    <row r="48" spans="1:18" ht="12.75" customHeight="1" x14ac:dyDescent="0.2">
      <c r="N48" s="421"/>
      <c r="O48" s="422"/>
      <c r="P48" s="422"/>
      <c r="Q48" s="422"/>
      <c r="R48" s="422"/>
    </row>
    <row r="49" spans="2:18" x14ac:dyDescent="0.2">
      <c r="B49" s="402" t="s">
        <v>411</v>
      </c>
      <c r="C49" s="401"/>
      <c r="D49" s="401"/>
      <c r="E49" s="400"/>
      <c r="F49" s="398"/>
      <c r="G49" s="398"/>
      <c r="H49" s="398"/>
      <c r="I49" s="398"/>
      <c r="J49" s="399"/>
      <c r="K49" s="398"/>
      <c r="L49" s="397"/>
      <c r="M49" s="397"/>
      <c r="N49" s="421"/>
      <c r="O49" s="422"/>
      <c r="P49" s="422"/>
      <c r="Q49" s="422"/>
      <c r="R49" s="422"/>
    </row>
    <row r="50" spans="2:18" ht="12.75" customHeight="1" x14ac:dyDescent="0.2">
      <c r="N50" s="421"/>
      <c r="O50" s="422"/>
      <c r="P50" s="422"/>
      <c r="Q50" s="422"/>
      <c r="R50" s="422"/>
    </row>
    <row r="51" spans="2:18" ht="12.75" customHeight="1" x14ac:dyDescent="0.2">
      <c r="N51" s="421"/>
      <c r="O51" s="422"/>
      <c r="P51" s="422"/>
      <c r="Q51" s="422"/>
      <c r="R51" s="422"/>
    </row>
    <row r="52" spans="2:18" ht="12.75" customHeight="1" x14ac:dyDescent="0.2">
      <c r="N52" s="421"/>
      <c r="O52" s="422"/>
      <c r="P52" s="422"/>
      <c r="Q52" s="422"/>
      <c r="R52" s="422"/>
    </row>
    <row r="53" spans="2:18" ht="12.75" customHeight="1" x14ac:dyDescent="0.2">
      <c r="N53" s="421"/>
      <c r="O53" s="422"/>
      <c r="P53" s="422"/>
      <c r="Q53" s="422"/>
      <c r="R53" s="422"/>
    </row>
    <row r="54" spans="2:18" ht="12.75" customHeight="1" x14ac:dyDescent="0.2">
      <c r="N54" s="421"/>
      <c r="O54" s="422"/>
      <c r="P54" s="422"/>
      <c r="Q54" s="422"/>
      <c r="R54" s="422"/>
    </row>
    <row r="55" spans="2:18" ht="12.75" customHeight="1" x14ac:dyDescent="0.2">
      <c r="N55" s="421"/>
      <c r="O55" s="422"/>
      <c r="P55" s="422"/>
      <c r="Q55" s="422"/>
      <c r="R55" s="422"/>
    </row>
    <row r="56" spans="2:18" ht="12.75" customHeight="1" x14ac:dyDescent="0.2">
      <c r="N56" s="421"/>
      <c r="O56" s="421"/>
      <c r="P56" s="421"/>
      <c r="Q56" s="421"/>
      <c r="R56" s="421"/>
    </row>
    <row r="57" spans="2:18" ht="12.75" customHeight="1" x14ac:dyDescent="0.2">
      <c r="N57" s="421"/>
      <c r="O57" s="421"/>
      <c r="P57" s="421"/>
      <c r="Q57" s="421"/>
      <c r="R57" s="421"/>
    </row>
    <row r="58" spans="2:18" ht="12.75" customHeight="1" x14ac:dyDescent="0.2">
      <c r="N58" s="421"/>
      <c r="O58" s="421"/>
      <c r="P58" s="421"/>
      <c r="Q58" s="421"/>
      <c r="R58" s="421"/>
    </row>
    <row r="59" spans="2:18" ht="12.75" customHeight="1" x14ac:dyDescent="0.2">
      <c r="N59" s="421"/>
      <c r="O59" s="421"/>
      <c r="P59" s="421"/>
      <c r="Q59" s="421"/>
      <c r="R59" s="421"/>
    </row>
    <row r="60" spans="2:18" ht="12.75" customHeight="1" x14ac:dyDescent="0.2">
      <c r="N60" s="421"/>
      <c r="O60" s="421"/>
      <c r="P60" s="421"/>
      <c r="Q60" s="421"/>
      <c r="R60" s="421"/>
    </row>
    <row r="61" spans="2:18" ht="12.75" customHeight="1" x14ac:dyDescent="0.2">
      <c r="N61" s="421"/>
      <c r="O61" s="421" t="s">
        <v>450</v>
      </c>
      <c r="P61" s="421" t="s">
        <v>451</v>
      </c>
      <c r="Q61" s="421" t="s">
        <v>452</v>
      </c>
      <c r="R61" s="421"/>
    </row>
    <row r="62" spans="2:18" ht="12.75" customHeight="1" x14ac:dyDescent="0.2">
      <c r="N62" s="421">
        <v>1</v>
      </c>
      <c r="O62" s="422">
        <f>P62/40</f>
        <v>0</v>
      </c>
      <c r="P62" s="423">
        <f>Q62/4</f>
        <v>0</v>
      </c>
      <c r="Q62" s="422">
        <f>M43/3</f>
        <v>0</v>
      </c>
      <c r="R62" s="421"/>
    </row>
    <row r="63" spans="2:18" ht="12.75" customHeight="1" x14ac:dyDescent="0.2">
      <c r="N63" s="421">
        <v>2</v>
      </c>
      <c r="O63" s="422">
        <f t="shared" ref="O63:O73" si="9">P63/40</f>
        <v>0</v>
      </c>
      <c r="P63" s="423">
        <f t="shared" ref="P63:P73" si="10">Q63/4</f>
        <v>0</v>
      </c>
      <c r="Q63" s="422">
        <f>M44/3</f>
        <v>0</v>
      </c>
      <c r="R63" s="421"/>
    </row>
    <row r="64" spans="2:18" ht="12.75" customHeight="1" x14ac:dyDescent="0.2">
      <c r="N64" s="421">
        <v>3</v>
      </c>
      <c r="O64" s="422">
        <f t="shared" si="9"/>
        <v>0</v>
      </c>
      <c r="P64" s="423">
        <f t="shared" si="10"/>
        <v>0</v>
      </c>
      <c r="Q64" s="422">
        <f>M45/3</f>
        <v>0</v>
      </c>
      <c r="R64" s="421"/>
    </row>
    <row r="65" spans="1:20" ht="12.75" customHeight="1" x14ac:dyDescent="0.2">
      <c r="N65" s="421">
        <v>4</v>
      </c>
      <c r="O65" s="422">
        <f t="shared" si="9"/>
        <v>0</v>
      </c>
      <c r="P65" s="423">
        <f t="shared" si="10"/>
        <v>0</v>
      </c>
      <c r="Q65" s="422">
        <f>M46/3</f>
        <v>0</v>
      </c>
      <c r="R65" s="421"/>
    </row>
    <row r="66" spans="1:20" ht="12.75" customHeight="1" x14ac:dyDescent="0.2">
      <c r="N66" s="421">
        <v>5</v>
      </c>
      <c r="O66" s="422">
        <f t="shared" si="9"/>
        <v>0</v>
      </c>
      <c r="P66" s="423">
        <f t="shared" si="10"/>
        <v>0</v>
      </c>
      <c r="Q66" s="422">
        <f t="shared" ref="Q66:Q73" si="11">Q47/3</f>
        <v>0</v>
      </c>
      <c r="R66" s="421"/>
    </row>
    <row r="67" spans="1:20" ht="12.75" customHeight="1" x14ac:dyDescent="0.2">
      <c r="N67" s="421">
        <v>6</v>
      </c>
      <c r="O67" s="422">
        <f t="shared" si="9"/>
        <v>0</v>
      </c>
      <c r="P67" s="423">
        <f t="shared" si="10"/>
        <v>0</v>
      </c>
      <c r="Q67" s="422">
        <f t="shared" si="11"/>
        <v>0</v>
      </c>
      <c r="R67" s="421"/>
    </row>
    <row r="68" spans="1:20" ht="12.75" customHeight="1" x14ac:dyDescent="0.2">
      <c r="N68" s="421">
        <v>7</v>
      </c>
      <c r="O68" s="422">
        <f t="shared" si="9"/>
        <v>0</v>
      </c>
      <c r="P68" s="423">
        <f t="shared" si="10"/>
        <v>0</v>
      </c>
      <c r="Q68" s="422">
        <f t="shared" si="11"/>
        <v>0</v>
      </c>
      <c r="R68" s="421"/>
    </row>
    <row r="69" spans="1:20" ht="12.75" customHeight="1" x14ac:dyDescent="0.2">
      <c r="N69" s="421">
        <v>8</v>
      </c>
      <c r="O69" s="422">
        <f t="shared" si="9"/>
        <v>0</v>
      </c>
      <c r="P69" s="423">
        <f t="shared" si="10"/>
        <v>0</v>
      </c>
      <c r="Q69" s="422">
        <f t="shared" si="11"/>
        <v>0</v>
      </c>
      <c r="R69" s="421"/>
    </row>
    <row r="70" spans="1:20" ht="12.75" customHeight="1" x14ac:dyDescent="0.2">
      <c r="N70" s="421">
        <v>9</v>
      </c>
      <c r="O70" s="422">
        <f t="shared" si="9"/>
        <v>0</v>
      </c>
      <c r="P70" s="423">
        <f t="shared" si="10"/>
        <v>0</v>
      </c>
      <c r="Q70" s="422">
        <f t="shared" si="11"/>
        <v>0</v>
      </c>
      <c r="R70" s="421"/>
    </row>
    <row r="71" spans="1:20" ht="12.75" customHeight="1" x14ac:dyDescent="0.2">
      <c r="N71" s="421">
        <v>10</v>
      </c>
      <c r="O71" s="422">
        <f t="shared" si="9"/>
        <v>0</v>
      </c>
      <c r="P71" s="423">
        <f t="shared" si="10"/>
        <v>0</v>
      </c>
      <c r="Q71" s="422">
        <f t="shared" si="11"/>
        <v>0</v>
      </c>
      <c r="R71" s="421"/>
    </row>
    <row r="72" spans="1:20" ht="12.75" customHeight="1" x14ac:dyDescent="0.2">
      <c r="N72" s="421">
        <v>11</v>
      </c>
      <c r="O72" s="422">
        <f t="shared" si="9"/>
        <v>0</v>
      </c>
      <c r="P72" s="423">
        <f t="shared" si="10"/>
        <v>0</v>
      </c>
      <c r="Q72" s="422">
        <f t="shared" si="11"/>
        <v>0</v>
      </c>
      <c r="R72" s="421"/>
    </row>
    <row r="73" spans="1:20" ht="12.75" customHeight="1" x14ac:dyDescent="0.2">
      <c r="N73" s="421">
        <v>12</v>
      </c>
      <c r="O73" s="422">
        <f t="shared" si="9"/>
        <v>0</v>
      </c>
      <c r="P73" s="423">
        <f t="shared" si="10"/>
        <v>0</v>
      </c>
      <c r="Q73" s="422">
        <f t="shared" si="11"/>
        <v>0</v>
      </c>
      <c r="R73" s="421"/>
    </row>
    <row r="74" spans="1:20" ht="12.75" customHeight="1" x14ac:dyDescent="0.2"/>
    <row r="75" spans="1:20" ht="12.75" customHeight="1" x14ac:dyDescent="0.2"/>
    <row r="76" spans="1:20" ht="12.75" customHeight="1" x14ac:dyDescent="0.2"/>
    <row r="77" spans="1:20" ht="12.75" customHeight="1" x14ac:dyDescent="0.2"/>
    <row r="78" spans="1:20" ht="12.75" customHeight="1" x14ac:dyDescent="0.2"/>
    <row r="79" spans="1:20" ht="12.75" customHeight="1" x14ac:dyDescent="0.2">
      <c r="A79" s="425"/>
      <c r="B79" s="426"/>
      <c r="C79" s="426"/>
      <c r="D79" s="426"/>
      <c r="E79" s="426"/>
      <c r="F79" s="426"/>
      <c r="G79" s="426"/>
      <c r="H79" s="426"/>
      <c r="I79" s="426"/>
      <c r="J79" s="426"/>
      <c r="K79" s="426"/>
      <c r="L79" s="426"/>
      <c r="M79" s="427"/>
      <c r="N79" s="428"/>
      <c r="O79" s="426" t="s">
        <v>417</v>
      </c>
      <c r="P79" s="429" t="s">
        <v>417</v>
      </c>
      <c r="Q79" s="430" t="s">
        <v>454</v>
      </c>
      <c r="R79" s="431" t="s">
        <v>455</v>
      </c>
      <c r="S79" s="432" t="s">
        <v>456</v>
      </c>
      <c r="T79" s="433" t="s">
        <v>108</v>
      </c>
    </row>
    <row r="80" spans="1:2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row r="1001" ht="12.75" customHeight="1" x14ac:dyDescent="0.2"/>
    <row r="1002" ht="12.75" customHeight="1" x14ac:dyDescent="0.2"/>
    <row r="1003" ht="12.75" customHeight="1" x14ac:dyDescent="0.2"/>
    <row r="1004" ht="12.75" customHeight="1" x14ac:dyDescent="0.2"/>
    <row r="1005" ht="12.75" customHeight="1" x14ac:dyDescent="0.2"/>
    <row r="1006" ht="12.75" customHeight="1" x14ac:dyDescent="0.2"/>
    <row r="1007" ht="12.75" customHeight="1" x14ac:dyDescent="0.2"/>
    <row r="1008" ht="12.75" customHeight="1" x14ac:dyDescent="0.2"/>
    <row r="1009" ht="12.75" customHeight="1" x14ac:dyDescent="0.2"/>
    <row r="1010" ht="12.75" customHeight="1" x14ac:dyDescent="0.2"/>
    <row r="1011" ht="12.75" customHeight="1" x14ac:dyDescent="0.2"/>
    <row r="1012" ht="12.75" customHeight="1" x14ac:dyDescent="0.2"/>
    <row r="1013" ht="12.75" customHeight="1" x14ac:dyDescent="0.2"/>
    <row r="1014" ht="12.75" customHeight="1" x14ac:dyDescent="0.2"/>
    <row r="1015" ht="12.75" customHeight="1" x14ac:dyDescent="0.2"/>
    <row r="1016" ht="12.75" customHeight="1" x14ac:dyDescent="0.2"/>
    <row r="1017" ht="12.75" customHeight="1" x14ac:dyDescent="0.2"/>
    <row r="1018" ht="12.75" customHeight="1" x14ac:dyDescent="0.2"/>
    <row r="1019" ht="12.75" customHeight="1" x14ac:dyDescent="0.2"/>
    <row r="1020" ht="12.75" customHeight="1" x14ac:dyDescent="0.2"/>
    <row r="1021" ht="12.75" customHeight="1" x14ac:dyDescent="0.2"/>
    <row r="1022" ht="12.75" customHeight="1" x14ac:dyDescent="0.2"/>
    <row r="1023" ht="12.75" customHeight="1" x14ac:dyDescent="0.2"/>
    <row r="1024" ht="12.75" customHeight="1" x14ac:dyDescent="0.2"/>
    <row r="1025" ht="12.75" customHeight="1" x14ac:dyDescent="0.2"/>
    <row r="1026" ht="12.75" customHeight="1" x14ac:dyDescent="0.2"/>
    <row r="1027" ht="12.75" customHeight="1" x14ac:dyDescent="0.2"/>
    <row r="1028" ht="12.75" customHeight="1" x14ac:dyDescent="0.2"/>
    <row r="1029" ht="12.75" customHeight="1" x14ac:dyDescent="0.2"/>
    <row r="1030" ht="12.75" customHeight="1" x14ac:dyDescent="0.2"/>
    <row r="1031" ht="12.75" customHeight="1" x14ac:dyDescent="0.2"/>
    <row r="1032" ht="12.75" customHeight="1" x14ac:dyDescent="0.2"/>
    <row r="1033" ht="12.75" customHeight="1" x14ac:dyDescent="0.2"/>
    <row r="1034" ht="12.75" customHeight="1" x14ac:dyDescent="0.2"/>
    <row r="1035" ht="12.75" customHeight="1" x14ac:dyDescent="0.2"/>
    <row r="1036" ht="12.75" customHeight="1" x14ac:dyDescent="0.2"/>
    <row r="1037" ht="12.75" customHeight="1" x14ac:dyDescent="0.2"/>
    <row r="1038" ht="12.75" customHeight="1" x14ac:dyDescent="0.2"/>
    <row r="1039" ht="12.75" customHeight="1" x14ac:dyDescent="0.2"/>
    <row r="1040" ht="12.75" customHeight="1" x14ac:dyDescent="0.2"/>
    <row r="1041" ht="12.75" customHeight="1" x14ac:dyDescent="0.2"/>
    <row r="1042" ht="12.75" customHeight="1" x14ac:dyDescent="0.2"/>
    <row r="1043" ht="12.75" customHeight="1" x14ac:dyDescent="0.2"/>
    <row r="1044" ht="12.75" customHeight="1" x14ac:dyDescent="0.2"/>
    <row r="1045" ht="12.75" customHeight="1" x14ac:dyDescent="0.2"/>
    <row r="1046" ht="12.75" customHeight="1" x14ac:dyDescent="0.2"/>
    <row r="1047" ht="12.75" customHeight="1" x14ac:dyDescent="0.2"/>
    <row r="1048" ht="12.75" customHeight="1" x14ac:dyDescent="0.2"/>
    <row r="1049" ht="12.75" customHeight="1" x14ac:dyDescent="0.2"/>
    <row r="1050" ht="12.75" customHeight="1" x14ac:dyDescent="0.2"/>
    <row r="1051" ht="12.75" customHeight="1" x14ac:dyDescent="0.2"/>
    <row r="1052" ht="12.75" customHeight="1" x14ac:dyDescent="0.2"/>
    <row r="1053" ht="12.75" customHeight="1" x14ac:dyDescent="0.2"/>
    <row r="1054" ht="12.75" customHeight="1" x14ac:dyDescent="0.2"/>
    <row r="1055" ht="12.75" customHeight="1" x14ac:dyDescent="0.2"/>
    <row r="1056" ht="12.75" customHeight="1" x14ac:dyDescent="0.2"/>
    <row r="1057" ht="12.75" customHeight="1" x14ac:dyDescent="0.2"/>
    <row r="1058" ht="12.75" customHeight="1" x14ac:dyDescent="0.2"/>
    <row r="1059" ht="12.75" customHeight="1" x14ac:dyDescent="0.2"/>
    <row r="1060" ht="12.75" customHeight="1" x14ac:dyDescent="0.2"/>
    <row r="1061" ht="12.75" customHeight="1" x14ac:dyDescent="0.2"/>
    <row r="1062" ht="12.75" customHeight="1" x14ac:dyDescent="0.2"/>
    <row r="1063" ht="12.75" customHeight="1" x14ac:dyDescent="0.2"/>
    <row r="1064" ht="12.75" customHeight="1" x14ac:dyDescent="0.2"/>
    <row r="1065" ht="12.75" customHeight="1" x14ac:dyDescent="0.2"/>
    <row r="1066" ht="12.75" customHeight="1" x14ac:dyDescent="0.2"/>
    <row r="1067" ht="12.75" customHeight="1" x14ac:dyDescent="0.2"/>
    <row r="1068" ht="12.75" customHeight="1" x14ac:dyDescent="0.2"/>
    <row r="1069" ht="12.75" customHeight="1" x14ac:dyDescent="0.2"/>
    <row r="1070" ht="12.75" customHeight="1" x14ac:dyDescent="0.2"/>
    <row r="1071" ht="12.75" customHeight="1" x14ac:dyDescent="0.2"/>
    <row r="1072" ht="12.75" customHeight="1" x14ac:dyDescent="0.2"/>
    <row r="1073" ht="12.75" customHeight="1" x14ac:dyDescent="0.2"/>
    <row r="1074" ht="12.75" customHeight="1" x14ac:dyDescent="0.2"/>
    <row r="1075" ht="12.75" customHeight="1" x14ac:dyDescent="0.2"/>
    <row r="1076" ht="12.75" customHeight="1" x14ac:dyDescent="0.2"/>
    <row r="1077" ht="12.75" customHeight="1" x14ac:dyDescent="0.2"/>
    <row r="1078" ht="12.75" customHeight="1" x14ac:dyDescent="0.2"/>
    <row r="1079" ht="12.75" customHeight="1" x14ac:dyDescent="0.2"/>
    <row r="1080" ht="12.75" customHeight="1" x14ac:dyDescent="0.2"/>
    <row r="1081" ht="12.75" customHeight="1" x14ac:dyDescent="0.2"/>
    <row r="1082" ht="12.75" customHeight="1" x14ac:dyDescent="0.2"/>
    <row r="1083" ht="12.75" customHeight="1" x14ac:dyDescent="0.2"/>
    <row r="1084" ht="12.75" customHeight="1" x14ac:dyDescent="0.2"/>
    <row r="1085" ht="12.75" customHeight="1" x14ac:dyDescent="0.2"/>
    <row r="1086" ht="12.75" customHeight="1" x14ac:dyDescent="0.2"/>
    <row r="1087" ht="12.75" customHeight="1" x14ac:dyDescent="0.2"/>
    <row r="1088" ht="12.75" customHeight="1" x14ac:dyDescent="0.2"/>
    <row r="1089" ht="12.75" customHeight="1" x14ac:dyDescent="0.2"/>
    <row r="1090" ht="12.75" customHeight="1" x14ac:dyDescent="0.2"/>
    <row r="1091" ht="12.75" customHeight="1" x14ac:dyDescent="0.2"/>
    <row r="1092" ht="12.75" customHeight="1" x14ac:dyDescent="0.2"/>
    <row r="1093" ht="12.75" customHeight="1" x14ac:dyDescent="0.2"/>
    <row r="1094" ht="12.75" customHeight="1" x14ac:dyDescent="0.2"/>
    <row r="1095" ht="12.75" customHeight="1" x14ac:dyDescent="0.2"/>
    <row r="1096" ht="12.75" customHeight="1" x14ac:dyDescent="0.2"/>
    <row r="1097" ht="12.75" customHeight="1" x14ac:dyDescent="0.2"/>
    <row r="1098" ht="12.75" customHeight="1" x14ac:dyDescent="0.2"/>
    <row r="1099" ht="12.75" customHeight="1" x14ac:dyDescent="0.2"/>
    <row r="1100" ht="12.75" customHeight="1" x14ac:dyDescent="0.2"/>
    <row r="1101" ht="12.75" customHeight="1" x14ac:dyDescent="0.2"/>
    <row r="1102" ht="12.75" customHeight="1" x14ac:dyDescent="0.2"/>
    <row r="1103" ht="12.75" customHeight="1" x14ac:dyDescent="0.2"/>
    <row r="1104" ht="12.75" customHeight="1" x14ac:dyDescent="0.2"/>
    <row r="1105" ht="12.75" customHeight="1" x14ac:dyDescent="0.2"/>
    <row r="1106" ht="12.75" customHeight="1" x14ac:dyDescent="0.2"/>
    <row r="1107" ht="12.75" customHeight="1" x14ac:dyDescent="0.2"/>
    <row r="1108" ht="12.75" customHeight="1" x14ac:dyDescent="0.2"/>
    <row r="1109" ht="12.75" customHeight="1" x14ac:dyDescent="0.2"/>
    <row r="1110" ht="12.75" customHeight="1" x14ac:dyDescent="0.2"/>
    <row r="1111" ht="12.75" customHeight="1" x14ac:dyDescent="0.2"/>
    <row r="1112" ht="12.75" customHeight="1" x14ac:dyDescent="0.2"/>
    <row r="1113" ht="12.75" customHeight="1" x14ac:dyDescent="0.2"/>
    <row r="1114" ht="12.75" customHeight="1" x14ac:dyDescent="0.2"/>
    <row r="1115" ht="12.75" customHeight="1" x14ac:dyDescent="0.2"/>
    <row r="1116" ht="12.75" customHeight="1" x14ac:dyDescent="0.2"/>
    <row r="1117" ht="12.75" customHeight="1" x14ac:dyDescent="0.2"/>
    <row r="1118" ht="12.75" customHeight="1" x14ac:dyDescent="0.2"/>
    <row r="1119" ht="12.75" customHeight="1" x14ac:dyDescent="0.2"/>
    <row r="1120" ht="12.75" customHeight="1" x14ac:dyDescent="0.2"/>
    <row r="1121" ht="12.75" customHeight="1" x14ac:dyDescent="0.2"/>
    <row r="1122" ht="12.75" customHeight="1" x14ac:dyDescent="0.2"/>
    <row r="1123" ht="12.75" customHeight="1" x14ac:dyDescent="0.2"/>
    <row r="1124" ht="12.75" customHeight="1" x14ac:dyDescent="0.2"/>
    <row r="1125" ht="12.75" customHeight="1" x14ac:dyDescent="0.2"/>
    <row r="1126" ht="12.75" customHeight="1" x14ac:dyDescent="0.2"/>
    <row r="1127" ht="12.75" customHeight="1" x14ac:dyDescent="0.2"/>
    <row r="1128" ht="12.75" customHeight="1" x14ac:dyDescent="0.2"/>
    <row r="1129" ht="12.75" customHeight="1" x14ac:dyDescent="0.2"/>
    <row r="1130" ht="12.75" customHeight="1" x14ac:dyDescent="0.2"/>
    <row r="1131" ht="12.75" customHeight="1" x14ac:dyDescent="0.2"/>
    <row r="1132" ht="12.75" customHeight="1" x14ac:dyDescent="0.2"/>
    <row r="1133" ht="12.75" customHeight="1" x14ac:dyDescent="0.2"/>
    <row r="1134" ht="12.75" customHeight="1" x14ac:dyDescent="0.2"/>
    <row r="1135" ht="12.75" customHeight="1" x14ac:dyDescent="0.2"/>
    <row r="1136" ht="12.75" customHeight="1" x14ac:dyDescent="0.2"/>
    <row r="1137" ht="12.75" customHeight="1" x14ac:dyDescent="0.2"/>
    <row r="1138" ht="12.75" customHeight="1" x14ac:dyDescent="0.2"/>
    <row r="1139" ht="12.75" customHeight="1" x14ac:dyDescent="0.2"/>
    <row r="1140" ht="12.75" customHeight="1" x14ac:dyDescent="0.2"/>
    <row r="1141" ht="12.75" customHeight="1" x14ac:dyDescent="0.2"/>
    <row r="1142" ht="12.75" customHeight="1" x14ac:dyDescent="0.2"/>
    <row r="1143" ht="12.75" customHeight="1" x14ac:dyDescent="0.2"/>
    <row r="1144" ht="12.75" customHeight="1" x14ac:dyDescent="0.2"/>
    <row r="1145" ht="12.75" customHeight="1" x14ac:dyDescent="0.2"/>
    <row r="1146" ht="12.75" customHeight="1" x14ac:dyDescent="0.2"/>
    <row r="1147" ht="12.75" customHeight="1" x14ac:dyDescent="0.2"/>
    <row r="1148" ht="12.75" customHeight="1" x14ac:dyDescent="0.2"/>
    <row r="1149" ht="12.75" customHeight="1" x14ac:dyDescent="0.2"/>
    <row r="1150" ht="12.75" customHeight="1" x14ac:dyDescent="0.2"/>
    <row r="1151" ht="12.75" customHeight="1" x14ac:dyDescent="0.2"/>
    <row r="1152" ht="12.75" customHeight="1" x14ac:dyDescent="0.2"/>
    <row r="1153" ht="12.75" customHeight="1" x14ac:dyDescent="0.2"/>
    <row r="1154" ht="12.75" customHeight="1" x14ac:dyDescent="0.2"/>
    <row r="1155" ht="12.75" customHeight="1" x14ac:dyDescent="0.2"/>
    <row r="1156" ht="12.75" customHeight="1" x14ac:dyDescent="0.2"/>
    <row r="1157" ht="12.75" customHeight="1" x14ac:dyDescent="0.2"/>
    <row r="1158" ht="12.75" customHeight="1" x14ac:dyDescent="0.2"/>
    <row r="1159" ht="12.75" customHeight="1" x14ac:dyDescent="0.2"/>
    <row r="1160" ht="12.75" customHeight="1" x14ac:dyDescent="0.2"/>
    <row r="1161" ht="12.75" customHeight="1" x14ac:dyDescent="0.2"/>
    <row r="1162" ht="12.75" customHeight="1" x14ac:dyDescent="0.2"/>
    <row r="1163" ht="12.75" customHeight="1" x14ac:dyDescent="0.2"/>
    <row r="1164" ht="12.75" customHeight="1" x14ac:dyDescent="0.2"/>
    <row r="1165" ht="12.75" customHeight="1" x14ac:dyDescent="0.2"/>
    <row r="1166" ht="12.75" customHeight="1" x14ac:dyDescent="0.2"/>
    <row r="1167" ht="12.75" customHeight="1" x14ac:dyDescent="0.2"/>
    <row r="1168" ht="12.75" customHeight="1" x14ac:dyDescent="0.2"/>
    <row r="1169" ht="12.75" customHeight="1" x14ac:dyDescent="0.2"/>
    <row r="1170" ht="12.75" customHeight="1" x14ac:dyDescent="0.2"/>
    <row r="1171" ht="12.75" customHeight="1" x14ac:dyDescent="0.2"/>
    <row r="1172" ht="12.75" customHeight="1" x14ac:dyDescent="0.2"/>
    <row r="1173" ht="12.75" customHeight="1" x14ac:dyDescent="0.2"/>
    <row r="1174" ht="12.75" customHeight="1" x14ac:dyDescent="0.2"/>
    <row r="1175" ht="12.75" customHeight="1" x14ac:dyDescent="0.2"/>
    <row r="1176" ht="12.75" customHeight="1" x14ac:dyDescent="0.2"/>
    <row r="1177" ht="12.75" customHeight="1" x14ac:dyDescent="0.2"/>
    <row r="1178" ht="12.75" customHeight="1" x14ac:dyDescent="0.2"/>
    <row r="1179" ht="12.75" customHeight="1" x14ac:dyDescent="0.2"/>
    <row r="1180" ht="12.75" customHeight="1" x14ac:dyDescent="0.2"/>
    <row r="1181" ht="12.75" customHeight="1" x14ac:dyDescent="0.2"/>
    <row r="1182" ht="12.75" customHeight="1" x14ac:dyDescent="0.2"/>
    <row r="1183" ht="12.75" customHeight="1" x14ac:dyDescent="0.2"/>
    <row r="1184" ht="12.75" customHeight="1" x14ac:dyDescent="0.2"/>
    <row r="1185" ht="12.75" customHeight="1" x14ac:dyDescent="0.2"/>
    <row r="1186" ht="12.75" customHeight="1" x14ac:dyDescent="0.2"/>
    <row r="1187" ht="12.75" customHeight="1" x14ac:dyDescent="0.2"/>
    <row r="1188" ht="12.75" customHeight="1" x14ac:dyDescent="0.2"/>
    <row r="1189" ht="12.75" customHeight="1" x14ac:dyDescent="0.2"/>
    <row r="1190" ht="12.75" customHeight="1" x14ac:dyDescent="0.2"/>
    <row r="1191" ht="12.75" customHeight="1" x14ac:dyDescent="0.2"/>
    <row r="1192" ht="12.75" customHeight="1" x14ac:dyDescent="0.2"/>
    <row r="1193" ht="12.75" customHeight="1" x14ac:dyDescent="0.2"/>
    <row r="1194" ht="12.75" customHeight="1" x14ac:dyDescent="0.2"/>
    <row r="1195" ht="12.75" customHeight="1" x14ac:dyDescent="0.2"/>
    <row r="1196" ht="12.75" customHeight="1" x14ac:dyDescent="0.2"/>
    <row r="1197" ht="12.75" customHeight="1" x14ac:dyDescent="0.2"/>
    <row r="1198" ht="12.75" customHeight="1" x14ac:dyDescent="0.2"/>
    <row r="1199" ht="12.75" customHeight="1" x14ac:dyDescent="0.2"/>
    <row r="1200" ht="12.75" customHeight="1" x14ac:dyDescent="0.2"/>
    <row r="1201" ht="12.75" customHeight="1" x14ac:dyDescent="0.2"/>
    <row r="1202" ht="12.75" customHeight="1" x14ac:dyDescent="0.2"/>
    <row r="1203" ht="12.75" customHeight="1" x14ac:dyDescent="0.2"/>
    <row r="1204" ht="12.75" customHeight="1" x14ac:dyDescent="0.2"/>
    <row r="1205" ht="12.75" customHeight="1" x14ac:dyDescent="0.2"/>
    <row r="1206" ht="12.75" customHeight="1" x14ac:dyDescent="0.2"/>
    <row r="1207" ht="12.75" customHeight="1" x14ac:dyDescent="0.2"/>
    <row r="1208" ht="12.75" customHeight="1" x14ac:dyDescent="0.2"/>
    <row r="1209" ht="12.75" customHeight="1" x14ac:dyDescent="0.2"/>
    <row r="1210" ht="12.75" customHeight="1" x14ac:dyDescent="0.2"/>
    <row r="1211" ht="12.75" customHeight="1" x14ac:dyDescent="0.2"/>
    <row r="1212" ht="12.75" customHeight="1" x14ac:dyDescent="0.2"/>
    <row r="1213" ht="12.75" customHeight="1" x14ac:dyDescent="0.2"/>
    <row r="1214" ht="12.75" customHeight="1" x14ac:dyDescent="0.2"/>
    <row r="1215" ht="12.75" customHeight="1" x14ac:dyDescent="0.2"/>
    <row r="1216" ht="12.75" customHeight="1" x14ac:dyDescent="0.2"/>
    <row r="1217" ht="12.75" customHeight="1" x14ac:dyDescent="0.2"/>
    <row r="1218" ht="12.75" customHeight="1" x14ac:dyDescent="0.2"/>
    <row r="1219" ht="12.75" customHeight="1" x14ac:dyDescent="0.2"/>
    <row r="1220" ht="12.75" customHeight="1" x14ac:dyDescent="0.2"/>
    <row r="1221" ht="12.75" customHeight="1" x14ac:dyDescent="0.2"/>
    <row r="1222" ht="12.75" customHeight="1" x14ac:dyDescent="0.2"/>
    <row r="1223" ht="12.75" customHeight="1" x14ac:dyDescent="0.2"/>
    <row r="1224" ht="12.75" customHeight="1" x14ac:dyDescent="0.2"/>
    <row r="1225" ht="12.75" customHeight="1" x14ac:dyDescent="0.2"/>
    <row r="1226" ht="12.75" customHeight="1" x14ac:dyDescent="0.2"/>
    <row r="1227" ht="12.75" customHeight="1" x14ac:dyDescent="0.2"/>
    <row r="1228" ht="12.75" customHeight="1" x14ac:dyDescent="0.2"/>
    <row r="1229" ht="12.75" customHeight="1" x14ac:dyDescent="0.2"/>
    <row r="1230" ht="12.75" customHeight="1" x14ac:dyDescent="0.2"/>
    <row r="1231" ht="12.75" customHeight="1" x14ac:dyDescent="0.2"/>
    <row r="1232" ht="12.75" customHeight="1" x14ac:dyDescent="0.2"/>
    <row r="1233" ht="12.75" customHeight="1" x14ac:dyDescent="0.2"/>
    <row r="1234" ht="12.75" customHeight="1" x14ac:dyDescent="0.2"/>
    <row r="1235" ht="12.75" customHeight="1" x14ac:dyDescent="0.2"/>
    <row r="1236" ht="12.75" customHeight="1" x14ac:dyDescent="0.2"/>
    <row r="1237" ht="12.75" customHeight="1" x14ac:dyDescent="0.2"/>
    <row r="1238" ht="12.75" customHeight="1" x14ac:dyDescent="0.2"/>
    <row r="1239" ht="12.75" customHeight="1" x14ac:dyDescent="0.2"/>
    <row r="1240" ht="12.75" customHeight="1" x14ac:dyDescent="0.2"/>
    <row r="1241" ht="12.75" customHeight="1" x14ac:dyDescent="0.2"/>
    <row r="1242" ht="12.75" customHeight="1" x14ac:dyDescent="0.2"/>
    <row r="1243" ht="12.75" customHeight="1" x14ac:dyDescent="0.2"/>
    <row r="1244" ht="12.75" customHeight="1" x14ac:dyDescent="0.2"/>
    <row r="1245" ht="12.75" customHeight="1" x14ac:dyDescent="0.2"/>
    <row r="1246" ht="12.75" customHeight="1" x14ac:dyDescent="0.2"/>
    <row r="1247" ht="12.75" customHeight="1" x14ac:dyDescent="0.2"/>
    <row r="1248" ht="12.75" customHeight="1" x14ac:dyDescent="0.2"/>
    <row r="1249" ht="12.75" customHeight="1" x14ac:dyDescent="0.2"/>
    <row r="1250" ht="12.75" customHeight="1" x14ac:dyDescent="0.2"/>
    <row r="1251" ht="12.75" customHeight="1" x14ac:dyDescent="0.2"/>
    <row r="1252" ht="12.75" customHeight="1" x14ac:dyDescent="0.2"/>
    <row r="1253" ht="12.75" customHeight="1" x14ac:dyDescent="0.2"/>
    <row r="1254" ht="12.75" customHeight="1" x14ac:dyDescent="0.2"/>
    <row r="1255" ht="12.75" customHeight="1" x14ac:dyDescent="0.2"/>
    <row r="1256" ht="12.75" customHeight="1" x14ac:dyDescent="0.2"/>
    <row r="1257" ht="12.75" customHeight="1" x14ac:dyDescent="0.2"/>
    <row r="1258" ht="12.75" customHeight="1" x14ac:dyDescent="0.2"/>
    <row r="1259" ht="12.75" customHeight="1" x14ac:dyDescent="0.2"/>
    <row r="1260" ht="12.75" customHeight="1" x14ac:dyDescent="0.2"/>
    <row r="1261" ht="12.75" customHeight="1" x14ac:dyDescent="0.2"/>
    <row r="1262" ht="12.75" customHeight="1" x14ac:dyDescent="0.2"/>
    <row r="1263" ht="12.75" customHeight="1" x14ac:dyDescent="0.2"/>
    <row r="1264" ht="12.75" customHeight="1" x14ac:dyDescent="0.2"/>
    <row r="1265" ht="12.75" customHeight="1" x14ac:dyDescent="0.2"/>
    <row r="1266" ht="12.75" customHeight="1" x14ac:dyDescent="0.2"/>
    <row r="1267" ht="12.75" customHeight="1" x14ac:dyDescent="0.2"/>
    <row r="1268" ht="12.75" customHeight="1" x14ac:dyDescent="0.2"/>
    <row r="1269" ht="12.75" customHeight="1" x14ac:dyDescent="0.2"/>
    <row r="1270" ht="12.75" customHeight="1" x14ac:dyDescent="0.2"/>
    <row r="1271" ht="12.75" customHeight="1" x14ac:dyDescent="0.2"/>
    <row r="1272" ht="12.75" customHeight="1" x14ac:dyDescent="0.2"/>
    <row r="1273" ht="12.75" customHeight="1" x14ac:dyDescent="0.2"/>
    <row r="1274" ht="12.75" customHeight="1" x14ac:dyDescent="0.2"/>
    <row r="1275" ht="12.75" customHeight="1" x14ac:dyDescent="0.2"/>
    <row r="1276" ht="12.75" customHeight="1" x14ac:dyDescent="0.2"/>
    <row r="1277" ht="12.75" customHeight="1" x14ac:dyDescent="0.2"/>
    <row r="1278" ht="12.75" customHeight="1" x14ac:dyDescent="0.2"/>
    <row r="1279" ht="12.75" customHeight="1" x14ac:dyDescent="0.2"/>
    <row r="1280" ht="12.75" customHeight="1" x14ac:dyDescent="0.2"/>
    <row r="1281" ht="12.75" customHeight="1" x14ac:dyDescent="0.2"/>
    <row r="1282" ht="12.75" customHeight="1" x14ac:dyDescent="0.2"/>
    <row r="1283" ht="12.75" customHeight="1" x14ac:dyDescent="0.2"/>
    <row r="1284" ht="12.75" customHeight="1" x14ac:dyDescent="0.2"/>
    <row r="1285" ht="12.75" customHeight="1" x14ac:dyDescent="0.2"/>
    <row r="1286" ht="12.75" customHeight="1" x14ac:dyDescent="0.2"/>
    <row r="1287" ht="12.75" customHeight="1" x14ac:dyDescent="0.2"/>
    <row r="1288" ht="12.75" customHeight="1" x14ac:dyDescent="0.2"/>
    <row r="1289" ht="12.75" customHeight="1" x14ac:dyDescent="0.2"/>
    <row r="1290" ht="12.75" customHeight="1" x14ac:dyDescent="0.2"/>
    <row r="1291" ht="12.75" customHeight="1" x14ac:dyDescent="0.2"/>
    <row r="1292" ht="12.75" customHeight="1" x14ac:dyDescent="0.2"/>
    <row r="1293" ht="12.75" customHeight="1" x14ac:dyDescent="0.2"/>
    <row r="1294" ht="12.75" customHeight="1" x14ac:dyDescent="0.2"/>
    <row r="1295" ht="12.75" customHeight="1" x14ac:dyDescent="0.2"/>
    <row r="1296" ht="12.75" customHeight="1" x14ac:dyDescent="0.2"/>
    <row r="1297" ht="12.75" customHeight="1" x14ac:dyDescent="0.2"/>
    <row r="1298" ht="12.75" customHeight="1" x14ac:dyDescent="0.2"/>
    <row r="1299" ht="12.75" customHeight="1" x14ac:dyDescent="0.2"/>
    <row r="1300" ht="12.75" customHeight="1" x14ac:dyDescent="0.2"/>
    <row r="1301" ht="12.75" customHeight="1" x14ac:dyDescent="0.2"/>
    <row r="1302" ht="12.75" customHeight="1" x14ac:dyDescent="0.2"/>
    <row r="1303" ht="12.75" customHeight="1" x14ac:dyDescent="0.2"/>
    <row r="1304" ht="12.75" customHeight="1" x14ac:dyDescent="0.2"/>
    <row r="1305" ht="12.75" customHeight="1" x14ac:dyDescent="0.2"/>
    <row r="1306" ht="12.75" customHeight="1" x14ac:dyDescent="0.2"/>
    <row r="1307" ht="12.75" customHeight="1" x14ac:dyDescent="0.2"/>
    <row r="1308" ht="12.75" customHeight="1" x14ac:dyDescent="0.2"/>
    <row r="1309" ht="12.75" customHeight="1" x14ac:dyDescent="0.2"/>
    <row r="1310" ht="12.75" customHeight="1" x14ac:dyDescent="0.2"/>
    <row r="1311" ht="12.75" customHeight="1" x14ac:dyDescent="0.2"/>
    <row r="1312" ht="12.75" customHeight="1" x14ac:dyDescent="0.2"/>
    <row r="1313" ht="12.75" customHeight="1" x14ac:dyDescent="0.2"/>
    <row r="1314" ht="12.75" customHeight="1" x14ac:dyDescent="0.2"/>
    <row r="1315" ht="12.75" customHeight="1" x14ac:dyDescent="0.2"/>
    <row r="1316" ht="12.75" customHeight="1" x14ac:dyDescent="0.2"/>
    <row r="1317" ht="12.75" customHeight="1" x14ac:dyDescent="0.2"/>
    <row r="1318" ht="12.75" customHeight="1" x14ac:dyDescent="0.2"/>
    <row r="1319" ht="12.75" customHeight="1" x14ac:dyDescent="0.2"/>
    <row r="1320" ht="12.75" customHeight="1" x14ac:dyDescent="0.2"/>
    <row r="1321" ht="12.75" customHeight="1" x14ac:dyDescent="0.2"/>
    <row r="1322" ht="12.75" customHeight="1" x14ac:dyDescent="0.2"/>
    <row r="1323" ht="12.75" customHeight="1" x14ac:dyDescent="0.2"/>
    <row r="1324" ht="12.75" customHeight="1" x14ac:dyDescent="0.2"/>
    <row r="1325" ht="12.75" customHeight="1" x14ac:dyDescent="0.2"/>
    <row r="1326" ht="12.75" customHeight="1" x14ac:dyDescent="0.2"/>
    <row r="1327" ht="12.75" customHeight="1" x14ac:dyDescent="0.2"/>
    <row r="1328" ht="12.75" customHeight="1" x14ac:dyDescent="0.2"/>
    <row r="1329" ht="12.75" customHeight="1" x14ac:dyDescent="0.2"/>
    <row r="1330" ht="12.75" customHeight="1" x14ac:dyDescent="0.2"/>
    <row r="1331" ht="12.75" customHeight="1" x14ac:dyDescent="0.2"/>
    <row r="1332" ht="12.75" customHeight="1" x14ac:dyDescent="0.2"/>
    <row r="1333" ht="12.75" customHeight="1" x14ac:dyDescent="0.2"/>
    <row r="1334" ht="12.75" customHeight="1" x14ac:dyDescent="0.2"/>
    <row r="1335" ht="12.75" customHeight="1" x14ac:dyDescent="0.2"/>
    <row r="1336" ht="12.75" customHeight="1" x14ac:dyDescent="0.2"/>
    <row r="1337" ht="12.75" customHeight="1" x14ac:dyDescent="0.2"/>
    <row r="1338" ht="12.75" customHeight="1" x14ac:dyDescent="0.2"/>
    <row r="1339" ht="12.75" customHeight="1" x14ac:dyDescent="0.2"/>
    <row r="1340" ht="12.75" customHeight="1" x14ac:dyDescent="0.2"/>
    <row r="1341" ht="12.75" customHeight="1" x14ac:dyDescent="0.2"/>
    <row r="1342" ht="12.75" customHeight="1" x14ac:dyDescent="0.2"/>
    <row r="1343" ht="12.75" customHeight="1" x14ac:dyDescent="0.2"/>
    <row r="1344" ht="12.75" customHeight="1" x14ac:dyDescent="0.2"/>
    <row r="1345" ht="12.75" customHeight="1" x14ac:dyDescent="0.2"/>
    <row r="1346" ht="12.75" customHeight="1" x14ac:dyDescent="0.2"/>
    <row r="1347" ht="12.75" customHeight="1" x14ac:dyDescent="0.2"/>
    <row r="1348" ht="12.75" customHeight="1" x14ac:dyDescent="0.2"/>
    <row r="1349" ht="12.75" customHeight="1" x14ac:dyDescent="0.2"/>
    <row r="1350" ht="12.75" customHeight="1" x14ac:dyDescent="0.2"/>
    <row r="1351" ht="12.75" customHeight="1" x14ac:dyDescent="0.2"/>
    <row r="1352" ht="12.75" customHeight="1" x14ac:dyDescent="0.2"/>
    <row r="1353" ht="12.75" customHeight="1" x14ac:dyDescent="0.2"/>
    <row r="1354" ht="12.75" customHeight="1" x14ac:dyDescent="0.2"/>
    <row r="1355" ht="12.75" customHeight="1" x14ac:dyDescent="0.2"/>
    <row r="1356" ht="12.75" customHeight="1" x14ac:dyDescent="0.2"/>
    <row r="1357" ht="12.75" customHeight="1" x14ac:dyDescent="0.2"/>
    <row r="1358" ht="12.75" customHeight="1" x14ac:dyDescent="0.2"/>
    <row r="1359" ht="12.75" customHeight="1" x14ac:dyDescent="0.2"/>
    <row r="1360" ht="12.75" customHeight="1" x14ac:dyDescent="0.2"/>
    <row r="1361" ht="12.75" customHeight="1" x14ac:dyDescent="0.2"/>
    <row r="1362" ht="12.75" customHeight="1" x14ac:dyDescent="0.2"/>
    <row r="1363" ht="12.75" customHeight="1" x14ac:dyDescent="0.2"/>
    <row r="1364" ht="12.75" customHeight="1" x14ac:dyDescent="0.2"/>
    <row r="1365" ht="12.75" customHeight="1" x14ac:dyDescent="0.2"/>
    <row r="1366" ht="12.75" customHeight="1" x14ac:dyDescent="0.2"/>
    <row r="1367" ht="12.75" customHeight="1" x14ac:dyDescent="0.2"/>
    <row r="1368" ht="12.75" customHeight="1" x14ac:dyDescent="0.2"/>
    <row r="1369" ht="12.75" customHeight="1" x14ac:dyDescent="0.2"/>
    <row r="1370" ht="12.75" customHeight="1" x14ac:dyDescent="0.2"/>
    <row r="1371" ht="12.75" customHeight="1" x14ac:dyDescent="0.2"/>
    <row r="1372" ht="12.75" customHeight="1" x14ac:dyDescent="0.2"/>
    <row r="1373" ht="12.75" customHeight="1" x14ac:dyDescent="0.2"/>
    <row r="1374" ht="12.75" customHeight="1" x14ac:dyDescent="0.2"/>
    <row r="1375" ht="12.75" customHeight="1" x14ac:dyDescent="0.2"/>
    <row r="1376" ht="12.75" customHeight="1" x14ac:dyDescent="0.2"/>
    <row r="1377" ht="12.75" customHeight="1" x14ac:dyDescent="0.2"/>
    <row r="1378" ht="12.75" customHeight="1" x14ac:dyDescent="0.2"/>
    <row r="1379" ht="12.75" customHeight="1" x14ac:dyDescent="0.2"/>
    <row r="1380" ht="12.75" customHeight="1" x14ac:dyDescent="0.2"/>
    <row r="1381" ht="12.75" customHeight="1" x14ac:dyDescent="0.2"/>
    <row r="1382" ht="12.75" customHeight="1" x14ac:dyDescent="0.2"/>
    <row r="1383" ht="12.75" customHeight="1" x14ac:dyDescent="0.2"/>
    <row r="1384" ht="12.75" customHeight="1" x14ac:dyDescent="0.2"/>
    <row r="1385" ht="12.75" customHeight="1" x14ac:dyDescent="0.2"/>
    <row r="1386" ht="12.75" customHeight="1" x14ac:dyDescent="0.2"/>
    <row r="1387" ht="12.75" customHeight="1" x14ac:dyDescent="0.2"/>
    <row r="1388" ht="12.75" customHeight="1" x14ac:dyDescent="0.2"/>
    <row r="1389" ht="12.75" customHeight="1" x14ac:dyDescent="0.2"/>
    <row r="1390" ht="12.75" customHeight="1" x14ac:dyDescent="0.2"/>
    <row r="1391" ht="12.75" customHeight="1" x14ac:dyDescent="0.2"/>
    <row r="1392" ht="12.75" customHeight="1" x14ac:dyDescent="0.2"/>
    <row r="1393" ht="12.75" customHeight="1" x14ac:dyDescent="0.2"/>
    <row r="1394" ht="12.75" customHeight="1" x14ac:dyDescent="0.2"/>
    <row r="1395" ht="12.75" customHeight="1" x14ac:dyDescent="0.2"/>
    <row r="1396" ht="12.75" customHeight="1" x14ac:dyDescent="0.2"/>
    <row r="1397" ht="12.75" customHeight="1" x14ac:dyDescent="0.2"/>
    <row r="1398" ht="12.75" customHeight="1" x14ac:dyDescent="0.2"/>
    <row r="1399" ht="12.75" customHeight="1" x14ac:dyDescent="0.2"/>
    <row r="1400" ht="12.75" customHeight="1" x14ac:dyDescent="0.2"/>
    <row r="1401" ht="12.75" customHeight="1" x14ac:dyDescent="0.2"/>
    <row r="1402" ht="12.75" customHeight="1" x14ac:dyDescent="0.2"/>
    <row r="1403" ht="12.75" customHeight="1" x14ac:dyDescent="0.2"/>
    <row r="1404" ht="12.75" customHeight="1" x14ac:dyDescent="0.2"/>
    <row r="1405" ht="12.75" customHeight="1" x14ac:dyDescent="0.2"/>
    <row r="1406" ht="12.75" customHeight="1" x14ac:dyDescent="0.2"/>
    <row r="1407" ht="12.75" customHeight="1" x14ac:dyDescent="0.2"/>
    <row r="1408" ht="12.75" customHeight="1" x14ac:dyDescent="0.2"/>
    <row r="1409" ht="12.75" customHeight="1" x14ac:dyDescent="0.2"/>
    <row r="1410" ht="12.75" customHeight="1" x14ac:dyDescent="0.2"/>
    <row r="1411" ht="12.75" customHeight="1" x14ac:dyDescent="0.2"/>
    <row r="1412" ht="12.75" customHeight="1" x14ac:dyDescent="0.2"/>
    <row r="1413" ht="12.75" customHeight="1" x14ac:dyDescent="0.2"/>
    <row r="1414" ht="12.75" customHeight="1" x14ac:dyDescent="0.2"/>
    <row r="1415" ht="12.75" customHeight="1" x14ac:dyDescent="0.2"/>
    <row r="1416" ht="12.75" customHeight="1" x14ac:dyDescent="0.2"/>
    <row r="1417" ht="12.75" customHeight="1" x14ac:dyDescent="0.2"/>
    <row r="1418" ht="12.75" customHeight="1" x14ac:dyDescent="0.2"/>
    <row r="1419" ht="12.75" customHeight="1" x14ac:dyDescent="0.2"/>
    <row r="1420" ht="12.75" customHeight="1" x14ac:dyDescent="0.2"/>
    <row r="1421" ht="12.75" customHeight="1" x14ac:dyDescent="0.2"/>
    <row r="1422" ht="12.75" customHeight="1" x14ac:dyDescent="0.2"/>
    <row r="1423" ht="12.75" customHeight="1" x14ac:dyDescent="0.2"/>
    <row r="1424" ht="12.75" customHeight="1" x14ac:dyDescent="0.2"/>
    <row r="1425" ht="12.75" customHeight="1" x14ac:dyDescent="0.2"/>
    <row r="1426" ht="12.75" customHeight="1" x14ac:dyDescent="0.2"/>
    <row r="1427" ht="12.75" customHeight="1" x14ac:dyDescent="0.2"/>
    <row r="1428" ht="12.75" customHeight="1" x14ac:dyDescent="0.2"/>
    <row r="1429" ht="12.75" customHeight="1" x14ac:dyDescent="0.2"/>
    <row r="1430" ht="12.75" customHeight="1" x14ac:dyDescent="0.2"/>
    <row r="1431" ht="12.75" customHeight="1" x14ac:dyDescent="0.2"/>
    <row r="1432" ht="12.75" customHeight="1" x14ac:dyDescent="0.2"/>
    <row r="1433" ht="12.75" customHeight="1" x14ac:dyDescent="0.2"/>
    <row r="1434" ht="12.75" customHeight="1" x14ac:dyDescent="0.2"/>
    <row r="1435" ht="12.75" customHeight="1" x14ac:dyDescent="0.2"/>
    <row r="1436" ht="12.75" customHeight="1" x14ac:dyDescent="0.2"/>
    <row r="1437" ht="12.75" customHeight="1" x14ac:dyDescent="0.2"/>
    <row r="1438" ht="12.75" customHeight="1" x14ac:dyDescent="0.2"/>
    <row r="1439" ht="12.75" customHeight="1" x14ac:dyDescent="0.2"/>
    <row r="1440" ht="12.75" customHeight="1" x14ac:dyDescent="0.2"/>
    <row r="1441" ht="12.75" customHeight="1" x14ac:dyDescent="0.2"/>
    <row r="1442" ht="12.75" customHeight="1" x14ac:dyDescent="0.2"/>
    <row r="1443" ht="12.75" customHeight="1" x14ac:dyDescent="0.2"/>
    <row r="1444" ht="12.75" customHeight="1" x14ac:dyDescent="0.2"/>
    <row r="1445" ht="12.75" customHeight="1" x14ac:dyDescent="0.2"/>
    <row r="1446" ht="12.75" customHeight="1" x14ac:dyDescent="0.2"/>
    <row r="1447" ht="12.75" customHeight="1" x14ac:dyDescent="0.2"/>
    <row r="1448" ht="12.75" customHeight="1" x14ac:dyDescent="0.2"/>
    <row r="1449" ht="12.75" customHeight="1" x14ac:dyDescent="0.2"/>
    <row r="1450" ht="12.75" customHeight="1" x14ac:dyDescent="0.2"/>
    <row r="1451" ht="12.75" customHeight="1" x14ac:dyDescent="0.2"/>
    <row r="1452" ht="12.75" customHeight="1" x14ac:dyDescent="0.2"/>
    <row r="1453" ht="12.75" customHeight="1" x14ac:dyDescent="0.2"/>
    <row r="1454" ht="12.75" customHeight="1" x14ac:dyDescent="0.2"/>
    <row r="1455" ht="12.75" customHeight="1" x14ac:dyDescent="0.2"/>
    <row r="1456" ht="12.75" customHeight="1" x14ac:dyDescent="0.2"/>
    <row r="1457" ht="12.75" customHeight="1" x14ac:dyDescent="0.2"/>
    <row r="1458" ht="12.75" customHeight="1" x14ac:dyDescent="0.2"/>
    <row r="1459" ht="12.75" customHeight="1" x14ac:dyDescent="0.2"/>
    <row r="1460" ht="12.75" customHeight="1" x14ac:dyDescent="0.2"/>
    <row r="1461" ht="12.75" customHeight="1" x14ac:dyDescent="0.2"/>
    <row r="1462" ht="12.75" customHeight="1" x14ac:dyDescent="0.2"/>
    <row r="1463" ht="12.75" customHeight="1" x14ac:dyDescent="0.2"/>
    <row r="1464" ht="12.75" customHeight="1" x14ac:dyDescent="0.2"/>
    <row r="1465" ht="12.75" customHeight="1" x14ac:dyDescent="0.2"/>
    <row r="1466" ht="12.75" customHeight="1" x14ac:dyDescent="0.2"/>
    <row r="1467" ht="12.75" customHeight="1" x14ac:dyDescent="0.2"/>
    <row r="1468" ht="12.75" customHeight="1" x14ac:dyDescent="0.2"/>
    <row r="1469" ht="12.75" customHeight="1" x14ac:dyDescent="0.2"/>
    <row r="1470" ht="12.75" customHeight="1" x14ac:dyDescent="0.2"/>
    <row r="1471" ht="12.75" customHeight="1" x14ac:dyDescent="0.2"/>
    <row r="1472" ht="12.75" customHeight="1" x14ac:dyDescent="0.2"/>
    <row r="1473" ht="12.75" customHeight="1" x14ac:dyDescent="0.2"/>
    <row r="1474" ht="12.75" customHeight="1" x14ac:dyDescent="0.2"/>
    <row r="1475" ht="12.75" customHeight="1" x14ac:dyDescent="0.2"/>
    <row r="1476" ht="12.75" customHeight="1" x14ac:dyDescent="0.2"/>
    <row r="1477" ht="12.75" customHeight="1" x14ac:dyDescent="0.2"/>
    <row r="1478" ht="12.75" customHeight="1" x14ac:dyDescent="0.2"/>
    <row r="1479" ht="12.75" customHeight="1" x14ac:dyDescent="0.2"/>
    <row r="1480" ht="12.75" customHeight="1" x14ac:dyDescent="0.2"/>
    <row r="1481" ht="12.75" customHeight="1" x14ac:dyDescent="0.2"/>
    <row r="1482" ht="12.75" customHeight="1" x14ac:dyDescent="0.2"/>
    <row r="1483" ht="12.75" customHeight="1" x14ac:dyDescent="0.2"/>
    <row r="1484" ht="12.75" customHeight="1" x14ac:dyDescent="0.2"/>
    <row r="1485" ht="12.75" customHeight="1" x14ac:dyDescent="0.2"/>
    <row r="1486" ht="12.75" customHeight="1" x14ac:dyDescent="0.2"/>
    <row r="1487" ht="12.75" customHeight="1" x14ac:dyDescent="0.2"/>
    <row r="1488" ht="12.75" customHeight="1" x14ac:dyDescent="0.2"/>
    <row r="1489" ht="12.75" customHeight="1" x14ac:dyDescent="0.2"/>
    <row r="1490" ht="12.75" customHeight="1" x14ac:dyDescent="0.2"/>
    <row r="1491" ht="12.75" customHeight="1" x14ac:dyDescent="0.2"/>
    <row r="1492" ht="12.75" customHeight="1" x14ac:dyDescent="0.2"/>
    <row r="1493" ht="12.75" customHeight="1" x14ac:dyDescent="0.2"/>
    <row r="1494" ht="12.75" customHeight="1" x14ac:dyDescent="0.2"/>
    <row r="1495" ht="12.75" customHeight="1" x14ac:dyDescent="0.2"/>
    <row r="1496" ht="12.75" customHeight="1" x14ac:dyDescent="0.2"/>
    <row r="1497" ht="12.75" customHeight="1" x14ac:dyDescent="0.2"/>
    <row r="1498" ht="12.75" customHeight="1" x14ac:dyDescent="0.2"/>
    <row r="1499" ht="12.75" customHeight="1" x14ac:dyDescent="0.2"/>
    <row r="1500" ht="12.75" customHeight="1" x14ac:dyDescent="0.2"/>
    <row r="1501" ht="12.75" customHeight="1" x14ac:dyDescent="0.2"/>
    <row r="1502" ht="12.75" customHeight="1" x14ac:dyDescent="0.2"/>
    <row r="1503" ht="12.75" customHeight="1" x14ac:dyDescent="0.2"/>
    <row r="1504" ht="12.75" customHeight="1" x14ac:dyDescent="0.2"/>
    <row r="1505" ht="12.75" customHeight="1" x14ac:dyDescent="0.2"/>
    <row r="1506" ht="12.75" customHeight="1" x14ac:dyDescent="0.2"/>
    <row r="1507" ht="12.75" customHeight="1" x14ac:dyDescent="0.2"/>
    <row r="1508" ht="12.75" customHeight="1" x14ac:dyDescent="0.2"/>
    <row r="1509" ht="12.75" customHeight="1" x14ac:dyDescent="0.2"/>
    <row r="1510" ht="12.75" customHeight="1" x14ac:dyDescent="0.2"/>
    <row r="1511" ht="12.75" customHeight="1" x14ac:dyDescent="0.2"/>
    <row r="1512" ht="12.75" customHeight="1" x14ac:dyDescent="0.2"/>
    <row r="1513" ht="12.75" customHeight="1" x14ac:dyDescent="0.2"/>
    <row r="1514" ht="12.75" customHeight="1" x14ac:dyDescent="0.2"/>
    <row r="1515" ht="12.75" customHeight="1" x14ac:dyDescent="0.2"/>
    <row r="1516" ht="12.75" customHeight="1" x14ac:dyDescent="0.2"/>
    <row r="1517" ht="12.75" customHeight="1" x14ac:dyDescent="0.2"/>
    <row r="1518" ht="12.75" customHeight="1" x14ac:dyDescent="0.2"/>
    <row r="1519" ht="12.75" customHeight="1" x14ac:dyDescent="0.2"/>
    <row r="1520" ht="12.75" customHeight="1" x14ac:dyDescent="0.2"/>
    <row r="1521" ht="12.75" customHeight="1" x14ac:dyDescent="0.2"/>
    <row r="1522" ht="12.75" customHeight="1" x14ac:dyDescent="0.2"/>
    <row r="1523" ht="12.75" customHeight="1" x14ac:dyDescent="0.2"/>
    <row r="1524" ht="12.75" customHeight="1" x14ac:dyDescent="0.2"/>
    <row r="1525" ht="12.75" customHeight="1" x14ac:dyDescent="0.2"/>
    <row r="1526" ht="12.75" customHeight="1" x14ac:dyDescent="0.2"/>
    <row r="1527" ht="12.75" customHeight="1" x14ac:dyDescent="0.2"/>
    <row r="1528" ht="12.75" customHeight="1" x14ac:dyDescent="0.2"/>
    <row r="1529" ht="12.75" customHeight="1" x14ac:dyDescent="0.2"/>
    <row r="1530" ht="12.75" customHeight="1" x14ac:dyDescent="0.2"/>
    <row r="1531" ht="12.75" customHeight="1" x14ac:dyDescent="0.2"/>
    <row r="1532" ht="12.75" customHeight="1" x14ac:dyDescent="0.2"/>
    <row r="1533" ht="12.75" customHeight="1" x14ac:dyDescent="0.2"/>
    <row r="1534" ht="12.75" customHeight="1" x14ac:dyDescent="0.2"/>
    <row r="1535" ht="12.75" customHeight="1" x14ac:dyDescent="0.2"/>
    <row r="1536" ht="12.75" customHeight="1" x14ac:dyDescent="0.2"/>
    <row r="1537" ht="12.75" customHeight="1" x14ac:dyDescent="0.2"/>
    <row r="1538" ht="12.75" customHeight="1" x14ac:dyDescent="0.2"/>
    <row r="1539" ht="12.75" customHeight="1" x14ac:dyDescent="0.2"/>
    <row r="1540" ht="12.75" customHeight="1" x14ac:dyDescent="0.2"/>
    <row r="1541" ht="12.75" customHeight="1" x14ac:dyDescent="0.2"/>
    <row r="1542" ht="12.75" customHeight="1" x14ac:dyDescent="0.2"/>
    <row r="1543" ht="12.75" customHeight="1" x14ac:dyDescent="0.2"/>
    <row r="1544" ht="12.75" customHeight="1" x14ac:dyDescent="0.2"/>
    <row r="1545" ht="12.75" customHeight="1" x14ac:dyDescent="0.2"/>
    <row r="1546" ht="12.75" customHeight="1" x14ac:dyDescent="0.2"/>
    <row r="1547" ht="12.75" customHeight="1" x14ac:dyDescent="0.2"/>
    <row r="1548" ht="12.75" customHeight="1" x14ac:dyDescent="0.2"/>
    <row r="1549" ht="12.75" customHeight="1" x14ac:dyDescent="0.2"/>
    <row r="1550" ht="12.75" customHeight="1" x14ac:dyDescent="0.2"/>
    <row r="1551" ht="12.75" customHeight="1" x14ac:dyDescent="0.2"/>
    <row r="1552" ht="12.75" customHeight="1" x14ac:dyDescent="0.2"/>
    <row r="1553" ht="12.75" customHeight="1" x14ac:dyDescent="0.2"/>
    <row r="1554" ht="12.75" customHeight="1" x14ac:dyDescent="0.2"/>
    <row r="1555" ht="12.75" customHeight="1" x14ac:dyDescent="0.2"/>
    <row r="1556" ht="12.75" customHeight="1" x14ac:dyDescent="0.2"/>
    <row r="1557" ht="12.75" customHeight="1" x14ac:dyDescent="0.2"/>
    <row r="1558" ht="12.75" customHeight="1" x14ac:dyDescent="0.2"/>
    <row r="1559" ht="12.75" customHeight="1" x14ac:dyDescent="0.2"/>
    <row r="1560" ht="12.75" customHeight="1" x14ac:dyDescent="0.2"/>
    <row r="1561" ht="12.75" customHeight="1" x14ac:dyDescent="0.2"/>
    <row r="1562" ht="12.75" customHeight="1" x14ac:dyDescent="0.2"/>
    <row r="1563" ht="12.75" customHeight="1" x14ac:dyDescent="0.2"/>
    <row r="1564" ht="12.75" customHeight="1" x14ac:dyDescent="0.2"/>
    <row r="1565" ht="12.75" customHeight="1" x14ac:dyDescent="0.2"/>
    <row r="1566" ht="12.75" customHeight="1" x14ac:dyDescent="0.2"/>
    <row r="1567" ht="12.75" customHeight="1" x14ac:dyDescent="0.2"/>
    <row r="1568" ht="12.75" customHeight="1" x14ac:dyDescent="0.2"/>
    <row r="1569" ht="12.75" customHeight="1" x14ac:dyDescent="0.2"/>
    <row r="1570" ht="12.75" customHeight="1" x14ac:dyDescent="0.2"/>
    <row r="1571" ht="12.75" customHeight="1" x14ac:dyDescent="0.2"/>
    <row r="1572" ht="12.75" customHeight="1" x14ac:dyDescent="0.2"/>
    <row r="1573" ht="12.75" customHeight="1" x14ac:dyDescent="0.2"/>
    <row r="1574" ht="12.75" customHeight="1" x14ac:dyDescent="0.2"/>
    <row r="1575" ht="12.75" customHeight="1" x14ac:dyDescent="0.2"/>
    <row r="1576" ht="12.75" customHeight="1" x14ac:dyDescent="0.2"/>
    <row r="1577" ht="12.75" customHeight="1" x14ac:dyDescent="0.2"/>
    <row r="1578" ht="12.75" customHeight="1" x14ac:dyDescent="0.2"/>
    <row r="1579" ht="12.75" customHeight="1" x14ac:dyDescent="0.2"/>
    <row r="1580" ht="12.75" customHeight="1" x14ac:dyDescent="0.2"/>
    <row r="1581" ht="12.75" customHeight="1" x14ac:dyDescent="0.2"/>
    <row r="1582" ht="12.75" customHeight="1" x14ac:dyDescent="0.2"/>
    <row r="1583" ht="12.75" customHeight="1" x14ac:dyDescent="0.2"/>
    <row r="1584" ht="12.75" customHeight="1" x14ac:dyDescent="0.2"/>
    <row r="1585" ht="12.75" customHeight="1" x14ac:dyDescent="0.2"/>
    <row r="1586" ht="12.75" customHeight="1" x14ac:dyDescent="0.2"/>
    <row r="1587" ht="12.75" customHeight="1" x14ac:dyDescent="0.2"/>
    <row r="1588" ht="12.75" customHeight="1" x14ac:dyDescent="0.2"/>
    <row r="1589" ht="12.75" customHeight="1" x14ac:dyDescent="0.2"/>
    <row r="1590" ht="12.75" customHeight="1" x14ac:dyDescent="0.2"/>
    <row r="1591" ht="12.75" customHeight="1" x14ac:dyDescent="0.2"/>
    <row r="1592" ht="12.75" customHeight="1" x14ac:dyDescent="0.2"/>
    <row r="1593" ht="12.75" customHeight="1" x14ac:dyDescent="0.2"/>
    <row r="1594" ht="12.75" customHeight="1" x14ac:dyDescent="0.2"/>
    <row r="1595" ht="12.75" customHeight="1" x14ac:dyDescent="0.2"/>
    <row r="1596" ht="12.75" customHeight="1" x14ac:dyDescent="0.2"/>
    <row r="1597" ht="12.75" customHeight="1" x14ac:dyDescent="0.2"/>
    <row r="1598" ht="12.75" customHeight="1" x14ac:dyDescent="0.2"/>
    <row r="1599" ht="12.75" customHeight="1" x14ac:dyDescent="0.2"/>
    <row r="1600" ht="12.75" customHeight="1" x14ac:dyDescent="0.2"/>
    <row r="1601" ht="12.75" customHeight="1" x14ac:dyDescent="0.2"/>
    <row r="1602" ht="12.75" customHeight="1" x14ac:dyDescent="0.2"/>
    <row r="1603" ht="12.75" customHeight="1" x14ac:dyDescent="0.2"/>
    <row r="1604" ht="12.75" customHeight="1" x14ac:dyDescent="0.2"/>
    <row r="1605" ht="12.75" customHeight="1" x14ac:dyDescent="0.2"/>
    <row r="1606" ht="12.75" customHeight="1" x14ac:dyDescent="0.2"/>
    <row r="1607" ht="12.75" customHeight="1" x14ac:dyDescent="0.2"/>
    <row r="1608" ht="12.75" customHeight="1" x14ac:dyDescent="0.2"/>
    <row r="1609" ht="12.75" customHeight="1" x14ac:dyDescent="0.2"/>
    <row r="1610" ht="12.75" customHeight="1" x14ac:dyDescent="0.2"/>
    <row r="1611" ht="12.75" customHeight="1" x14ac:dyDescent="0.2"/>
    <row r="1612" ht="12.75" customHeight="1" x14ac:dyDescent="0.2"/>
    <row r="1613" ht="12.75" customHeight="1" x14ac:dyDescent="0.2"/>
    <row r="1614" ht="12.75" customHeight="1" x14ac:dyDescent="0.2"/>
    <row r="1615" ht="12.75" customHeight="1" x14ac:dyDescent="0.2"/>
    <row r="1616" ht="12.75" customHeight="1" x14ac:dyDescent="0.2"/>
    <row r="1617" ht="12.75" customHeight="1" x14ac:dyDescent="0.2"/>
    <row r="1618" ht="12.75" customHeight="1" x14ac:dyDescent="0.2"/>
    <row r="1619" ht="12.75" customHeight="1" x14ac:dyDescent="0.2"/>
    <row r="1620" ht="12.75" customHeight="1" x14ac:dyDescent="0.2"/>
    <row r="1621" ht="12.75" customHeight="1" x14ac:dyDescent="0.2"/>
    <row r="1622" ht="12.75" customHeight="1" x14ac:dyDescent="0.2"/>
    <row r="1623" ht="12.75" customHeight="1" x14ac:dyDescent="0.2"/>
    <row r="1624" ht="12.75" customHeight="1" x14ac:dyDescent="0.2"/>
    <row r="1625" ht="12.75" customHeight="1" x14ac:dyDescent="0.2"/>
    <row r="1626" ht="12.75" customHeight="1" x14ac:dyDescent="0.2"/>
    <row r="1627" ht="12.75" customHeight="1" x14ac:dyDescent="0.2"/>
    <row r="1628" ht="12.75" customHeight="1" x14ac:dyDescent="0.2"/>
    <row r="1629" ht="12.75" customHeight="1" x14ac:dyDescent="0.2"/>
    <row r="1630" ht="12.75" customHeight="1" x14ac:dyDescent="0.2"/>
    <row r="1631" ht="12.75" customHeight="1" x14ac:dyDescent="0.2"/>
    <row r="1632" ht="12.75" customHeight="1" x14ac:dyDescent="0.2"/>
    <row r="1633" ht="12.75" customHeight="1" x14ac:dyDescent="0.2"/>
    <row r="1634" ht="12.75" customHeight="1" x14ac:dyDescent="0.2"/>
    <row r="1635" ht="12.75" customHeight="1" x14ac:dyDescent="0.2"/>
    <row r="1636" ht="12.75" customHeight="1" x14ac:dyDescent="0.2"/>
    <row r="1637" ht="12.75" customHeight="1" x14ac:dyDescent="0.2"/>
    <row r="1638" ht="12.75" customHeight="1" x14ac:dyDescent="0.2"/>
    <row r="1639" ht="12.75" customHeight="1" x14ac:dyDescent="0.2"/>
    <row r="1640" ht="12.75" customHeight="1" x14ac:dyDescent="0.2"/>
    <row r="1641" ht="12.75" customHeight="1" x14ac:dyDescent="0.2"/>
    <row r="1642" ht="12.75" customHeight="1" x14ac:dyDescent="0.2"/>
    <row r="1643" ht="12.75" customHeight="1" x14ac:dyDescent="0.2"/>
    <row r="1644" ht="12.75" customHeight="1" x14ac:dyDescent="0.2"/>
    <row r="1645" ht="12.75" customHeight="1" x14ac:dyDescent="0.2"/>
    <row r="1646" ht="12.75" customHeight="1" x14ac:dyDescent="0.2"/>
    <row r="1647" ht="12.75" customHeight="1" x14ac:dyDescent="0.2"/>
    <row r="1648" ht="12.75" customHeight="1" x14ac:dyDescent="0.2"/>
    <row r="1649" ht="12.75" customHeight="1" x14ac:dyDescent="0.2"/>
    <row r="1650" ht="12.75" customHeight="1" x14ac:dyDescent="0.2"/>
    <row r="1651" ht="12.75" customHeight="1" x14ac:dyDescent="0.2"/>
    <row r="1652" ht="12.75" customHeight="1" x14ac:dyDescent="0.2"/>
    <row r="1653" ht="12.75" customHeight="1" x14ac:dyDescent="0.2"/>
    <row r="1654" ht="12.75" customHeight="1" x14ac:dyDescent="0.2"/>
    <row r="1655" ht="12.75" customHeight="1" x14ac:dyDescent="0.2"/>
    <row r="1656" ht="12.75" customHeight="1" x14ac:dyDescent="0.2"/>
    <row r="1657" ht="12.75" customHeight="1" x14ac:dyDescent="0.2"/>
    <row r="1658" ht="12.75" customHeight="1" x14ac:dyDescent="0.2"/>
    <row r="1659" ht="12.75" customHeight="1" x14ac:dyDescent="0.2"/>
    <row r="1660" ht="12.75" customHeight="1" x14ac:dyDescent="0.2"/>
    <row r="1661" ht="12.75" customHeight="1" x14ac:dyDescent="0.2"/>
    <row r="1662" ht="12.75" customHeight="1" x14ac:dyDescent="0.2"/>
    <row r="1663" ht="12.75" customHeight="1" x14ac:dyDescent="0.2"/>
    <row r="1664" ht="12.75" customHeight="1" x14ac:dyDescent="0.2"/>
    <row r="1665" ht="12.75" customHeight="1" x14ac:dyDescent="0.2"/>
    <row r="1666" ht="12.75" customHeight="1" x14ac:dyDescent="0.2"/>
    <row r="1667" ht="12.75" customHeight="1" x14ac:dyDescent="0.2"/>
    <row r="1668" ht="12.75" customHeight="1" x14ac:dyDescent="0.2"/>
    <row r="1669" ht="12.75" customHeight="1" x14ac:dyDescent="0.2"/>
    <row r="1670" ht="12.75" customHeight="1" x14ac:dyDescent="0.2"/>
    <row r="1671" ht="12.75" customHeight="1" x14ac:dyDescent="0.2"/>
    <row r="1672" ht="12.75" customHeight="1" x14ac:dyDescent="0.2"/>
    <row r="1673" ht="12.75" customHeight="1" x14ac:dyDescent="0.2"/>
    <row r="1674" ht="12.75" customHeight="1" x14ac:dyDescent="0.2"/>
    <row r="1675" ht="12.75" customHeight="1" x14ac:dyDescent="0.2"/>
    <row r="1676" ht="12.75" customHeight="1" x14ac:dyDescent="0.2"/>
    <row r="1677" ht="12.75" customHeight="1" x14ac:dyDescent="0.2"/>
    <row r="1678" ht="12.75" customHeight="1" x14ac:dyDescent="0.2"/>
    <row r="1679" ht="12.75" customHeight="1" x14ac:dyDescent="0.2"/>
    <row r="1680" ht="12.75" customHeight="1" x14ac:dyDescent="0.2"/>
    <row r="1681" ht="12.75" customHeight="1" x14ac:dyDescent="0.2"/>
    <row r="1682" ht="12.75" customHeight="1" x14ac:dyDescent="0.2"/>
    <row r="1683" ht="12.75" customHeight="1" x14ac:dyDescent="0.2"/>
    <row r="1684" ht="12.75" customHeight="1" x14ac:dyDescent="0.2"/>
    <row r="1685" ht="12.75" customHeight="1" x14ac:dyDescent="0.2"/>
    <row r="1686" ht="12.75" customHeight="1" x14ac:dyDescent="0.2"/>
    <row r="1687" ht="12.75" customHeight="1" x14ac:dyDescent="0.2"/>
    <row r="1688" ht="12.75" customHeight="1" x14ac:dyDescent="0.2"/>
    <row r="1689" ht="12.75" customHeight="1" x14ac:dyDescent="0.2"/>
    <row r="1690" ht="12.75" customHeight="1" x14ac:dyDescent="0.2"/>
    <row r="1691" ht="12.75" customHeight="1" x14ac:dyDescent="0.2"/>
    <row r="1692" ht="12.75" customHeight="1" x14ac:dyDescent="0.2"/>
    <row r="1693" ht="12.75" customHeight="1" x14ac:dyDescent="0.2"/>
    <row r="1694" ht="12.75" customHeight="1" x14ac:dyDescent="0.2"/>
    <row r="1695" ht="12.75" customHeight="1" x14ac:dyDescent="0.2"/>
    <row r="1696" ht="12.75" customHeight="1" x14ac:dyDescent="0.2"/>
    <row r="1697" ht="12.75" customHeight="1" x14ac:dyDescent="0.2"/>
    <row r="1698" ht="12.75" customHeight="1" x14ac:dyDescent="0.2"/>
    <row r="1699" ht="12.75" customHeight="1" x14ac:dyDescent="0.2"/>
    <row r="1700" ht="12.75" customHeight="1" x14ac:dyDescent="0.2"/>
    <row r="1701" ht="12.75" customHeight="1" x14ac:dyDescent="0.2"/>
    <row r="1702" ht="12.75" customHeight="1" x14ac:dyDescent="0.2"/>
    <row r="1703" ht="12.75" customHeight="1" x14ac:dyDescent="0.2"/>
    <row r="1704" ht="12.75" customHeight="1" x14ac:dyDescent="0.2"/>
    <row r="1705" ht="12.75" customHeight="1" x14ac:dyDescent="0.2"/>
    <row r="1706" ht="12.75" customHeight="1" x14ac:dyDescent="0.2"/>
    <row r="1707" ht="12.75" customHeight="1" x14ac:dyDescent="0.2"/>
    <row r="1708" ht="12.75" customHeight="1" x14ac:dyDescent="0.2"/>
    <row r="1709" ht="12.75" customHeight="1" x14ac:dyDescent="0.2"/>
    <row r="1710" ht="12.75" customHeight="1" x14ac:dyDescent="0.2"/>
    <row r="1711" ht="12.75" customHeight="1" x14ac:dyDescent="0.2"/>
    <row r="1712" ht="12.75" customHeight="1" x14ac:dyDescent="0.2"/>
    <row r="1713" ht="12.75" customHeight="1" x14ac:dyDescent="0.2"/>
    <row r="1714" ht="12.75" customHeight="1" x14ac:dyDescent="0.2"/>
    <row r="1715" ht="12.75" customHeight="1" x14ac:dyDescent="0.2"/>
    <row r="1716" ht="12.75" customHeight="1" x14ac:dyDescent="0.2"/>
    <row r="1717" ht="12.75" customHeight="1" x14ac:dyDescent="0.2"/>
    <row r="1718" ht="12.75" customHeight="1" x14ac:dyDescent="0.2"/>
    <row r="1719" ht="12.75" customHeight="1" x14ac:dyDescent="0.2"/>
    <row r="1720" ht="12.75" customHeight="1" x14ac:dyDescent="0.2"/>
    <row r="1721" ht="12.75" customHeight="1" x14ac:dyDescent="0.2"/>
    <row r="1722" ht="12.75" customHeight="1" x14ac:dyDescent="0.2"/>
    <row r="1723" ht="12.75" customHeight="1" x14ac:dyDescent="0.2"/>
    <row r="1724" ht="12.75" customHeight="1" x14ac:dyDescent="0.2"/>
    <row r="1725" ht="12.75" customHeight="1" x14ac:dyDescent="0.2"/>
    <row r="1726" ht="12.75" customHeight="1" x14ac:dyDescent="0.2"/>
    <row r="1727" ht="12.75" customHeight="1" x14ac:dyDescent="0.2"/>
    <row r="1728" ht="12.75" customHeight="1" x14ac:dyDescent="0.2"/>
    <row r="1729" ht="12.75" customHeight="1" x14ac:dyDescent="0.2"/>
    <row r="1730" ht="12.75" customHeight="1" x14ac:dyDescent="0.2"/>
    <row r="1731" ht="12.75" customHeight="1" x14ac:dyDescent="0.2"/>
    <row r="1732" ht="12.75" customHeight="1" x14ac:dyDescent="0.2"/>
    <row r="1733" ht="12.75" customHeight="1" x14ac:dyDescent="0.2"/>
    <row r="1734" ht="12.75" customHeight="1" x14ac:dyDescent="0.2"/>
    <row r="1735" ht="12.75" customHeight="1" x14ac:dyDescent="0.2"/>
    <row r="1736" ht="12.75" customHeight="1" x14ac:dyDescent="0.2"/>
    <row r="1737" ht="12.75" customHeight="1" x14ac:dyDescent="0.2"/>
    <row r="1738" ht="12.75" customHeight="1" x14ac:dyDescent="0.2"/>
    <row r="1739" ht="12.75" customHeight="1" x14ac:dyDescent="0.2"/>
    <row r="1740" ht="12.75" customHeight="1" x14ac:dyDescent="0.2"/>
    <row r="1741" ht="12.75" customHeight="1" x14ac:dyDescent="0.2"/>
    <row r="1742" ht="12.75" customHeight="1" x14ac:dyDescent="0.2"/>
    <row r="1743" ht="12.75" customHeight="1" x14ac:dyDescent="0.2"/>
    <row r="1744" ht="12.75" customHeight="1" x14ac:dyDescent="0.2"/>
    <row r="1745" ht="12.75" customHeight="1" x14ac:dyDescent="0.2"/>
    <row r="1746" ht="12.75" customHeight="1" x14ac:dyDescent="0.2"/>
    <row r="1747" ht="12.75" customHeight="1" x14ac:dyDescent="0.2"/>
    <row r="1748" ht="12.75" customHeight="1" x14ac:dyDescent="0.2"/>
    <row r="1749" ht="12.75" customHeight="1" x14ac:dyDescent="0.2"/>
    <row r="1750" ht="12.75" customHeight="1" x14ac:dyDescent="0.2"/>
    <row r="1751" ht="12.75" customHeight="1" x14ac:dyDescent="0.2"/>
    <row r="1752" ht="12.75" customHeight="1" x14ac:dyDescent="0.2"/>
    <row r="1753" ht="12.75" customHeight="1" x14ac:dyDescent="0.2"/>
    <row r="1754" ht="12.75" customHeight="1" x14ac:dyDescent="0.2"/>
    <row r="1755" ht="12.75" customHeight="1" x14ac:dyDescent="0.2"/>
    <row r="1756" ht="12.75" customHeight="1" x14ac:dyDescent="0.2"/>
    <row r="1757" ht="12.75" customHeight="1" x14ac:dyDescent="0.2"/>
    <row r="1758" ht="12.75" customHeight="1" x14ac:dyDescent="0.2"/>
    <row r="1759" ht="12.75" customHeight="1" x14ac:dyDescent="0.2"/>
    <row r="1760" ht="12.75" customHeight="1" x14ac:dyDescent="0.2"/>
    <row r="1761" ht="12.75" customHeight="1" x14ac:dyDescent="0.2"/>
    <row r="1762" ht="12.75" customHeight="1" x14ac:dyDescent="0.2"/>
    <row r="1763" ht="12.75" customHeight="1" x14ac:dyDescent="0.2"/>
    <row r="1764" ht="12.75" customHeight="1" x14ac:dyDescent="0.2"/>
    <row r="1765" ht="12.75" customHeight="1" x14ac:dyDescent="0.2"/>
    <row r="1766" ht="12.75" customHeight="1" x14ac:dyDescent="0.2"/>
    <row r="1767" ht="12.75" customHeight="1" x14ac:dyDescent="0.2"/>
    <row r="1768" ht="12.75" customHeight="1" x14ac:dyDescent="0.2"/>
    <row r="1769" ht="12.75" customHeight="1" x14ac:dyDescent="0.2"/>
    <row r="1770" ht="12.75" customHeight="1" x14ac:dyDescent="0.2"/>
    <row r="1771" ht="12.75" customHeight="1" x14ac:dyDescent="0.2"/>
    <row r="1772" ht="12.75" customHeight="1" x14ac:dyDescent="0.2"/>
    <row r="1773" ht="12.75" customHeight="1" x14ac:dyDescent="0.2"/>
    <row r="1774" ht="12.75" customHeight="1" x14ac:dyDescent="0.2"/>
    <row r="1775" ht="12.75" customHeight="1" x14ac:dyDescent="0.2"/>
    <row r="1776" ht="12.75" customHeight="1" x14ac:dyDescent="0.2"/>
    <row r="1777" ht="12.75" customHeight="1" x14ac:dyDescent="0.2"/>
    <row r="1778" ht="12.75" customHeight="1" x14ac:dyDescent="0.2"/>
    <row r="1779" ht="12.75" customHeight="1" x14ac:dyDescent="0.2"/>
    <row r="1780" ht="12.75" customHeight="1" x14ac:dyDescent="0.2"/>
    <row r="1781" ht="12.75" customHeight="1" x14ac:dyDescent="0.2"/>
    <row r="1782" ht="12.75" customHeight="1" x14ac:dyDescent="0.2"/>
    <row r="1783" ht="12.75" customHeight="1" x14ac:dyDescent="0.2"/>
    <row r="1784" ht="12.75" customHeight="1" x14ac:dyDescent="0.2"/>
    <row r="1785" ht="12.75" customHeight="1" x14ac:dyDescent="0.2"/>
    <row r="1786" ht="12.75" customHeight="1" x14ac:dyDescent="0.2"/>
    <row r="1787" ht="12.75" customHeight="1" x14ac:dyDescent="0.2"/>
    <row r="1788" ht="12.75" customHeight="1" x14ac:dyDescent="0.2"/>
    <row r="1789" ht="12.75" customHeight="1" x14ac:dyDescent="0.2"/>
    <row r="1790" ht="12.75" customHeight="1" x14ac:dyDescent="0.2"/>
    <row r="1791" ht="12.75" customHeight="1" x14ac:dyDescent="0.2"/>
    <row r="1792" ht="12.75" customHeight="1" x14ac:dyDescent="0.2"/>
    <row r="1793" ht="12.75" customHeight="1" x14ac:dyDescent="0.2"/>
    <row r="1794" ht="12.75" customHeight="1" x14ac:dyDescent="0.2"/>
    <row r="1795" ht="12.75" customHeight="1" x14ac:dyDescent="0.2"/>
    <row r="1796" ht="12.75" customHeight="1" x14ac:dyDescent="0.2"/>
    <row r="1797" ht="12.75" customHeight="1" x14ac:dyDescent="0.2"/>
    <row r="1798" ht="12.75" customHeight="1" x14ac:dyDescent="0.2"/>
    <row r="1799" ht="12.75" customHeight="1" x14ac:dyDescent="0.2"/>
    <row r="1800" ht="12.75" customHeight="1" x14ac:dyDescent="0.2"/>
    <row r="1801" ht="12.75" customHeight="1" x14ac:dyDescent="0.2"/>
    <row r="1802" ht="12.75" customHeight="1" x14ac:dyDescent="0.2"/>
    <row r="1803" ht="12.75" customHeight="1" x14ac:dyDescent="0.2"/>
    <row r="1804" ht="12.75" customHeight="1" x14ac:dyDescent="0.2"/>
    <row r="1805" ht="12.75" customHeight="1" x14ac:dyDescent="0.2"/>
    <row r="1806" ht="12.75" customHeight="1" x14ac:dyDescent="0.2"/>
    <row r="1807" ht="12.75" customHeight="1" x14ac:dyDescent="0.2"/>
    <row r="1808" ht="12.75" customHeight="1" x14ac:dyDescent="0.2"/>
    <row r="1809" ht="12.75" customHeight="1" x14ac:dyDescent="0.2"/>
    <row r="1810" ht="12.75" customHeight="1" x14ac:dyDescent="0.2"/>
    <row r="1811" ht="12.75" customHeight="1" x14ac:dyDescent="0.2"/>
    <row r="1812" ht="12.75" customHeight="1" x14ac:dyDescent="0.2"/>
    <row r="1813" ht="12.75" customHeight="1" x14ac:dyDescent="0.2"/>
    <row r="1814" ht="12.75" customHeight="1" x14ac:dyDescent="0.2"/>
    <row r="1815" ht="12.75" customHeight="1" x14ac:dyDescent="0.2"/>
    <row r="1816" ht="12.75" customHeight="1" x14ac:dyDescent="0.2"/>
    <row r="1817" ht="12.75" customHeight="1" x14ac:dyDescent="0.2"/>
    <row r="1818" ht="12.75" customHeight="1" x14ac:dyDescent="0.2"/>
    <row r="1819" ht="12.75" customHeight="1" x14ac:dyDescent="0.2"/>
    <row r="1820" ht="12.75" customHeight="1" x14ac:dyDescent="0.2"/>
    <row r="1821" ht="12.75" customHeight="1" x14ac:dyDescent="0.2"/>
    <row r="1822" ht="12.75" customHeight="1" x14ac:dyDescent="0.2"/>
    <row r="1823" ht="12.75" customHeight="1" x14ac:dyDescent="0.2"/>
    <row r="1824" ht="12.75" customHeight="1" x14ac:dyDescent="0.2"/>
    <row r="1825" ht="12.75" customHeight="1" x14ac:dyDescent="0.2"/>
    <row r="1826" ht="12.75" customHeight="1" x14ac:dyDescent="0.2"/>
    <row r="1827" ht="12.75" customHeight="1" x14ac:dyDescent="0.2"/>
    <row r="1828" ht="12.75" customHeight="1" x14ac:dyDescent="0.2"/>
    <row r="1829" ht="12.75" customHeight="1" x14ac:dyDescent="0.2"/>
    <row r="1830" ht="12.75" customHeight="1" x14ac:dyDescent="0.2"/>
    <row r="1831" ht="12.75" customHeight="1" x14ac:dyDescent="0.2"/>
    <row r="1832" ht="12.75" customHeight="1" x14ac:dyDescent="0.2"/>
    <row r="1833" ht="12.75" customHeight="1" x14ac:dyDescent="0.2"/>
    <row r="1834" ht="12.75" customHeight="1" x14ac:dyDescent="0.2"/>
    <row r="1835" ht="12.75" customHeight="1" x14ac:dyDescent="0.2"/>
    <row r="1836" ht="12.75" customHeight="1" x14ac:dyDescent="0.2"/>
    <row r="1837" ht="12.75" customHeight="1" x14ac:dyDescent="0.2"/>
    <row r="1838" ht="12.75" customHeight="1" x14ac:dyDescent="0.2"/>
    <row r="1839" ht="12.75" customHeight="1" x14ac:dyDescent="0.2"/>
    <row r="1840" ht="12.75" customHeight="1" x14ac:dyDescent="0.2"/>
    <row r="1841" ht="12.75" customHeight="1" x14ac:dyDescent="0.2"/>
    <row r="1842" ht="12.75" customHeight="1" x14ac:dyDescent="0.2"/>
    <row r="1843" ht="12.75" customHeight="1" x14ac:dyDescent="0.2"/>
    <row r="1844" ht="12.75" customHeight="1" x14ac:dyDescent="0.2"/>
    <row r="1845" ht="12.75" customHeight="1" x14ac:dyDescent="0.2"/>
    <row r="1846" ht="12.75" customHeight="1" x14ac:dyDescent="0.2"/>
    <row r="1847" ht="12.75" customHeight="1" x14ac:dyDescent="0.2"/>
    <row r="1848" ht="12.75" customHeight="1" x14ac:dyDescent="0.2"/>
    <row r="1849" ht="12.75" customHeight="1" x14ac:dyDescent="0.2"/>
    <row r="1850" ht="12.75" customHeight="1" x14ac:dyDescent="0.2"/>
    <row r="1851" ht="12.75" customHeight="1" x14ac:dyDescent="0.2"/>
    <row r="1852" ht="12.75" customHeight="1" x14ac:dyDescent="0.2"/>
    <row r="1853" ht="12.75" customHeight="1" x14ac:dyDescent="0.2"/>
    <row r="1854" ht="12.75" customHeight="1" x14ac:dyDescent="0.2"/>
    <row r="1855" ht="12.75" customHeight="1" x14ac:dyDescent="0.2"/>
    <row r="1856" ht="12.75" customHeight="1" x14ac:dyDescent="0.2"/>
    <row r="1857" ht="12.75" customHeight="1" x14ac:dyDescent="0.2"/>
    <row r="1858" ht="12.75" customHeight="1" x14ac:dyDescent="0.2"/>
    <row r="1859" ht="12.75" customHeight="1" x14ac:dyDescent="0.2"/>
    <row r="1860" ht="12.75" customHeight="1" x14ac:dyDescent="0.2"/>
    <row r="1861" ht="12.75" customHeight="1" x14ac:dyDescent="0.2"/>
    <row r="1862" ht="12.75" customHeight="1" x14ac:dyDescent="0.2"/>
    <row r="1863" ht="12.75" customHeight="1" x14ac:dyDescent="0.2"/>
    <row r="1864" ht="12.75" customHeight="1" x14ac:dyDescent="0.2"/>
    <row r="1865" ht="12.75" customHeight="1" x14ac:dyDescent="0.2"/>
    <row r="1866" ht="12.75" customHeight="1" x14ac:dyDescent="0.2"/>
    <row r="1867" ht="12.75" customHeight="1" x14ac:dyDescent="0.2"/>
    <row r="1868" ht="12.75" customHeight="1" x14ac:dyDescent="0.2"/>
    <row r="1869" ht="12.75" customHeight="1" x14ac:dyDescent="0.2"/>
    <row r="1870" ht="12.75" customHeight="1" x14ac:dyDescent="0.2"/>
    <row r="1871" ht="12.75" customHeight="1" x14ac:dyDescent="0.2"/>
    <row r="1872" ht="12.75" customHeight="1" x14ac:dyDescent="0.2"/>
    <row r="1873" ht="12.75" customHeight="1" x14ac:dyDescent="0.2"/>
    <row r="1874" ht="12.75" customHeight="1" x14ac:dyDescent="0.2"/>
    <row r="1875" ht="12.75" customHeight="1" x14ac:dyDescent="0.2"/>
    <row r="1876" ht="12.75" customHeight="1" x14ac:dyDescent="0.2"/>
    <row r="1877" ht="12.75" customHeight="1" x14ac:dyDescent="0.2"/>
    <row r="1878" ht="12.75" customHeight="1" x14ac:dyDescent="0.2"/>
    <row r="1879" ht="12.75" customHeight="1" x14ac:dyDescent="0.2"/>
    <row r="1880" ht="12.75" customHeight="1" x14ac:dyDescent="0.2"/>
    <row r="1881" ht="12.75" customHeight="1" x14ac:dyDescent="0.2"/>
    <row r="1882" ht="12.75" customHeight="1" x14ac:dyDescent="0.2"/>
    <row r="1883" ht="12.75" customHeight="1" x14ac:dyDescent="0.2"/>
    <row r="1884" ht="12.75" customHeight="1" x14ac:dyDescent="0.2"/>
    <row r="1885" ht="12.75" customHeight="1" x14ac:dyDescent="0.2"/>
    <row r="1886" ht="12.75" customHeight="1" x14ac:dyDescent="0.2"/>
    <row r="1887" ht="12.75" customHeight="1" x14ac:dyDescent="0.2"/>
    <row r="1888" ht="12.75" customHeight="1" x14ac:dyDescent="0.2"/>
    <row r="1889" ht="12.75" customHeight="1" x14ac:dyDescent="0.2"/>
    <row r="1890" ht="12.75" customHeight="1" x14ac:dyDescent="0.2"/>
    <row r="1891" ht="12.75" customHeight="1" x14ac:dyDescent="0.2"/>
    <row r="1892" ht="12.75" customHeight="1" x14ac:dyDescent="0.2"/>
    <row r="1893" ht="12.75" customHeight="1" x14ac:dyDescent="0.2"/>
    <row r="1894" ht="12.75" customHeight="1" x14ac:dyDescent="0.2"/>
    <row r="1895" ht="12.75" customHeight="1" x14ac:dyDescent="0.2"/>
    <row r="1896" ht="12.75" customHeight="1" x14ac:dyDescent="0.2"/>
    <row r="1897" ht="12.75" customHeight="1" x14ac:dyDescent="0.2"/>
    <row r="1898" ht="12.75" customHeight="1" x14ac:dyDescent="0.2"/>
    <row r="1899" ht="12.75" customHeight="1" x14ac:dyDescent="0.2"/>
    <row r="1900" ht="12.75" customHeight="1" x14ac:dyDescent="0.2"/>
    <row r="1901" ht="12.75" customHeight="1" x14ac:dyDescent="0.2"/>
    <row r="1902" ht="12.75" customHeight="1" x14ac:dyDescent="0.2"/>
    <row r="1903" ht="12.75" customHeight="1" x14ac:dyDescent="0.2"/>
    <row r="1904" ht="12.75" customHeight="1" x14ac:dyDescent="0.2"/>
    <row r="1905" ht="12.75" customHeight="1" x14ac:dyDescent="0.2"/>
    <row r="1906" ht="12.75" customHeight="1" x14ac:dyDescent="0.2"/>
    <row r="1907" ht="12.75" customHeight="1" x14ac:dyDescent="0.2"/>
    <row r="1908" ht="12.75" customHeight="1" x14ac:dyDescent="0.2"/>
    <row r="1909" ht="12.75" customHeight="1" x14ac:dyDescent="0.2"/>
    <row r="1910" ht="12.75" customHeight="1" x14ac:dyDescent="0.2"/>
    <row r="1911" ht="12.75" customHeight="1" x14ac:dyDescent="0.2"/>
    <row r="1912" ht="12.75" customHeight="1" x14ac:dyDescent="0.2"/>
    <row r="1913" ht="12.75" customHeight="1" x14ac:dyDescent="0.2"/>
    <row r="1914" ht="12.75" customHeight="1" x14ac:dyDescent="0.2"/>
    <row r="1915" ht="12.75" customHeight="1" x14ac:dyDescent="0.2"/>
    <row r="1916" ht="12.75" customHeight="1" x14ac:dyDescent="0.2"/>
    <row r="1917" ht="12.75" customHeight="1" x14ac:dyDescent="0.2"/>
    <row r="1918" ht="12.75" customHeight="1" x14ac:dyDescent="0.2"/>
    <row r="1919" ht="12.75" customHeight="1" x14ac:dyDescent="0.2"/>
    <row r="1920" ht="12.75" customHeight="1" x14ac:dyDescent="0.2"/>
    <row r="1921" ht="12.75" customHeight="1" x14ac:dyDescent="0.2"/>
    <row r="1922" ht="12.75" customHeight="1" x14ac:dyDescent="0.2"/>
    <row r="1923" ht="12.75" customHeight="1" x14ac:dyDescent="0.2"/>
    <row r="1924" ht="12.75" customHeight="1" x14ac:dyDescent="0.2"/>
    <row r="1925" ht="12.75" customHeight="1" x14ac:dyDescent="0.2"/>
    <row r="1926" ht="12.75" customHeight="1" x14ac:dyDescent="0.2"/>
    <row r="1927" ht="12.75" customHeight="1" x14ac:dyDescent="0.2"/>
    <row r="1928" ht="12.75" customHeight="1" x14ac:dyDescent="0.2"/>
    <row r="1929" ht="12.75" customHeight="1" x14ac:dyDescent="0.2"/>
    <row r="1930" ht="12.75" customHeight="1" x14ac:dyDescent="0.2"/>
    <row r="1931" ht="12.75" customHeight="1" x14ac:dyDescent="0.2"/>
    <row r="1932" ht="12.75" customHeight="1" x14ac:dyDescent="0.2"/>
    <row r="1933" ht="12.75" customHeight="1" x14ac:dyDescent="0.2"/>
    <row r="1934" ht="12.75" customHeight="1" x14ac:dyDescent="0.2"/>
    <row r="1935" ht="12.75" customHeight="1" x14ac:dyDescent="0.2"/>
    <row r="1936" ht="12.75" customHeight="1" x14ac:dyDescent="0.2"/>
    <row r="1937" ht="12.75" customHeight="1" x14ac:dyDescent="0.2"/>
    <row r="1938" ht="12.75" customHeight="1" x14ac:dyDescent="0.2"/>
    <row r="1939" ht="12.75" customHeight="1" x14ac:dyDescent="0.2"/>
    <row r="1940" ht="12.75" customHeight="1" x14ac:dyDescent="0.2"/>
    <row r="1941" ht="12.75" customHeight="1" x14ac:dyDescent="0.2"/>
    <row r="1942" ht="12.75" customHeight="1" x14ac:dyDescent="0.2"/>
    <row r="1943" ht="12.75" customHeight="1" x14ac:dyDescent="0.2"/>
    <row r="1944" ht="12.75" customHeight="1" x14ac:dyDescent="0.2"/>
    <row r="1945" ht="12.75" customHeight="1" x14ac:dyDescent="0.2"/>
    <row r="1946" ht="12.75" customHeight="1" x14ac:dyDescent="0.2"/>
    <row r="1947" ht="12.75" customHeight="1" x14ac:dyDescent="0.2"/>
    <row r="1948" ht="12.75" customHeight="1" x14ac:dyDescent="0.2"/>
    <row r="1949" ht="12.75" customHeight="1" x14ac:dyDescent="0.2"/>
    <row r="1950" ht="12.75" customHeight="1" x14ac:dyDescent="0.2"/>
    <row r="1951" ht="12.75" customHeight="1" x14ac:dyDescent="0.2"/>
    <row r="1952" ht="12.75" customHeight="1" x14ac:dyDescent="0.2"/>
    <row r="1953" ht="12.75" customHeight="1" x14ac:dyDescent="0.2"/>
    <row r="1954" ht="12.75" customHeight="1" x14ac:dyDescent="0.2"/>
    <row r="1955" ht="12.75" customHeight="1" x14ac:dyDescent="0.2"/>
    <row r="1956" ht="12.75" customHeight="1" x14ac:dyDescent="0.2"/>
    <row r="1957" ht="12.75" customHeight="1" x14ac:dyDescent="0.2"/>
    <row r="1958" ht="12.75" customHeight="1" x14ac:dyDescent="0.2"/>
    <row r="1959" ht="12.75" customHeight="1" x14ac:dyDescent="0.2"/>
    <row r="1960" ht="12.75" customHeight="1" x14ac:dyDescent="0.2"/>
    <row r="1961" ht="12.75" customHeight="1" x14ac:dyDescent="0.2"/>
    <row r="1962" ht="12.75" customHeight="1" x14ac:dyDescent="0.2"/>
    <row r="1963" ht="12.75" customHeight="1" x14ac:dyDescent="0.2"/>
    <row r="1964" ht="12.75" customHeight="1" x14ac:dyDescent="0.2"/>
    <row r="1965" ht="12.75" customHeight="1" x14ac:dyDescent="0.2"/>
    <row r="1966" ht="12.75" customHeight="1" x14ac:dyDescent="0.2"/>
    <row r="1967" ht="12.75" customHeight="1" x14ac:dyDescent="0.2"/>
    <row r="1968" ht="12.75" customHeight="1" x14ac:dyDescent="0.2"/>
    <row r="1969" ht="12.75" customHeight="1" x14ac:dyDescent="0.2"/>
    <row r="1970" ht="12.75" customHeight="1" x14ac:dyDescent="0.2"/>
    <row r="1971" ht="12.75" customHeight="1" x14ac:dyDescent="0.2"/>
    <row r="1972" ht="12.75" customHeight="1" x14ac:dyDescent="0.2"/>
    <row r="1973" ht="12.75" customHeight="1" x14ac:dyDescent="0.2"/>
    <row r="1974" ht="12.75" customHeight="1" x14ac:dyDescent="0.2"/>
    <row r="1975" ht="12.75" customHeight="1" x14ac:dyDescent="0.2"/>
    <row r="1976" ht="12.75" customHeight="1" x14ac:dyDescent="0.2"/>
    <row r="1977" ht="12.75" customHeight="1" x14ac:dyDescent="0.2"/>
    <row r="1978" ht="12.75" customHeight="1" x14ac:dyDescent="0.2"/>
    <row r="1979" ht="12.75" customHeight="1" x14ac:dyDescent="0.2"/>
    <row r="1980" ht="12.75" customHeight="1" x14ac:dyDescent="0.2"/>
    <row r="1981" ht="12.75" customHeight="1" x14ac:dyDescent="0.2"/>
    <row r="1982" ht="12.75" customHeight="1" x14ac:dyDescent="0.2"/>
    <row r="1983" ht="12.75" customHeight="1" x14ac:dyDescent="0.2"/>
    <row r="1984" ht="12.75" customHeight="1" x14ac:dyDescent="0.2"/>
    <row r="1985" ht="12.75" customHeight="1" x14ac:dyDescent="0.2"/>
    <row r="1986" ht="12.75" customHeight="1" x14ac:dyDescent="0.2"/>
    <row r="1987" ht="12.75" customHeight="1" x14ac:dyDescent="0.2"/>
    <row r="1988" ht="12.75" customHeight="1" x14ac:dyDescent="0.2"/>
    <row r="1989" ht="12.75" customHeight="1" x14ac:dyDescent="0.2"/>
    <row r="1990" ht="12.75" customHeight="1" x14ac:dyDescent="0.2"/>
    <row r="1991" ht="12.75" customHeight="1" x14ac:dyDescent="0.2"/>
    <row r="1992" ht="12.75" customHeight="1" x14ac:dyDescent="0.2"/>
    <row r="1993" ht="12.75" customHeight="1" x14ac:dyDescent="0.2"/>
    <row r="1994" ht="12.75" customHeight="1" x14ac:dyDescent="0.2"/>
    <row r="1995" ht="12.75" customHeight="1" x14ac:dyDescent="0.2"/>
    <row r="1996" ht="12.75" customHeight="1" x14ac:dyDescent="0.2"/>
    <row r="1997" ht="12.75" customHeight="1" x14ac:dyDescent="0.2"/>
    <row r="1998" ht="12.75" customHeight="1" x14ac:dyDescent="0.2"/>
    <row r="1999" ht="12.75" customHeight="1" x14ac:dyDescent="0.2"/>
    <row r="2000" ht="12.75" customHeight="1" x14ac:dyDescent="0.2"/>
    <row r="2001" ht="12.75" customHeight="1" x14ac:dyDescent="0.2"/>
    <row r="2002" ht="12.75" customHeight="1" x14ac:dyDescent="0.2"/>
    <row r="2003" ht="12.75" customHeight="1" x14ac:dyDescent="0.2"/>
    <row r="2004" ht="12.75" customHeight="1" x14ac:dyDescent="0.2"/>
    <row r="2005" ht="12.75" customHeight="1" x14ac:dyDescent="0.2"/>
    <row r="2006" ht="12.75" customHeight="1" x14ac:dyDescent="0.2"/>
    <row r="2007" ht="12.75" customHeight="1" x14ac:dyDescent="0.2"/>
    <row r="2008" ht="12.75" customHeight="1" x14ac:dyDescent="0.2"/>
    <row r="2009" ht="12.75" customHeight="1" x14ac:dyDescent="0.2"/>
    <row r="2010" ht="12.75" customHeight="1" x14ac:dyDescent="0.2"/>
    <row r="2011" ht="12.75" customHeight="1" x14ac:dyDescent="0.2"/>
    <row r="2012" ht="12.75" customHeight="1" x14ac:dyDescent="0.2"/>
    <row r="2013" ht="12.75" customHeight="1" x14ac:dyDescent="0.2"/>
    <row r="2014" ht="12.75" customHeight="1" x14ac:dyDescent="0.2"/>
    <row r="2015" ht="12.75" customHeight="1" x14ac:dyDescent="0.2"/>
    <row r="2016" ht="12.75" customHeight="1" x14ac:dyDescent="0.2"/>
    <row r="2017" ht="12.75" customHeight="1" x14ac:dyDescent="0.2"/>
    <row r="2018" ht="12.75" customHeight="1" x14ac:dyDescent="0.2"/>
    <row r="2019" ht="12.75" customHeight="1" x14ac:dyDescent="0.2"/>
    <row r="2020" ht="12.75" customHeight="1" x14ac:dyDescent="0.2"/>
    <row r="2021" ht="12.75" customHeight="1" x14ac:dyDescent="0.2"/>
    <row r="2022" ht="12.75" customHeight="1" x14ac:dyDescent="0.2"/>
    <row r="2023" ht="12.75" customHeight="1" x14ac:dyDescent="0.2"/>
    <row r="2024" ht="12.75" customHeight="1" x14ac:dyDescent="0.2"/>
    <row r="2025" ht="12.75" customHeight="1" x14ac:dyDescent="0.2"/>
    <row r="2026" ht="12.75" customHeight="1" x14ac:dyDescent="0.2"/>
    <row r="2027" ht="12.75" customHeight="1" x14ac:dyDescent="0.2"/>
    <row r="2028" ht="12.75" customHeight="1" x14ac:dyDescent="0.2"/>
    <row r="2029" ht="12.75" customHeight="1" x14ac:dyDescent="0.2"/>
    <row r="2030" ht="12.75" customHeight="1" x14ac:dyDescent="0.2"/>
    <row r="2031" ht="12.75" customHeight="1" x14ac:dyDescent="0.2"/>
    <row r="2032" ht="12.75" customHeight="1" x14ac:dyDescent="0.2"/>
    <row r="2033" ht="12.75" customHeight="1" x14ac:dyDescent="0.2"/>
    <row r="2034" ht="12.75" customHeight="1" x14ac:dyDescent="0.2"/>
    <row r="2035" ht="12.75" customHeight="1" x14ac:dyDescent="0.2"/>
    <row r="2036" ht="12.75" customHeight="1" x14ac:dyDescent="0.2"/>
    <row r="2037" ht="12.75" customHeight="1" x14ac:dyDescent="0.2"/>
    <row r="2038" ht="12.75" customHeight="1" x14ac:dyDescent="0.2"/>
    <row r="2039" ht="12.75" customHeight="1" x14ac:dyDescent="0.2"/>
    <row r="2040" ht="12.75" customHeight="1" x14ac:dyDescent="0.2"/>
    <row r="2041" ht="12.75" customHeight="1" x14ac:dyDescent="0.2"/>
    <row r="2042" ht="12.75" customHeight="1" x14ac:dyDescent="0.2"/>
    <row r="2043" ht="12.75" customHeight="1" x14ac:dyDescent="0.2"/>
    <row r="2044" ht="12.75" customHeight="1" x14ac:dyDescent="0.2"/>
    <row r="2045" ht="12.75" customHeight="1" x14ac:dyDescent="0.2"/>
    <row r="2046" ht="12.75" customHeight="1" x14ac:dyDescent="0.2"/>
    <row r="2047" ht="12.75" customHeight="1" x14ac:dyDescent="0.2"/>
    <row r="2048" ht="12.75" customHeight="1" x14ac:dyDescent="0.2"/>
    <row r="2049" ht="12.75" customHeight="1" x14ac:dyDescent="0.2"/>
    <row r="2050" ht="12.75" customHeight="1" x14ac:dyDescent="0.2"/>
    <row r="2051" ht="12.75" customHeight="1" x14ac:dyDescent="0.2"/>
    <row r="2052" ht="12.75" customHeight="1" x14ac:dyDescent="0.2"/>
    <row r="2053" ht="12.75" customHeight="1" x14ac:dyDescent="0.2"/>
    <row r="2054" ht="12.75" customHeight="1" x14ac:dyDescent="0.2"/>
    <row r="2055" ht="12.75" customHeight="1" x14ac:dyDescent="0.2"/>
    <row r="2056" ht="12.75" customHeight="1" x14ac:dyDescent="0.2"/>
    <row r="2057" ht="12.75" customHeight="1" x14ac:dyDescent="0.2"/>
    <row r="2058" ht="12.75" customHeight="1" x14ac:dyDescent="0.2"/>
    <row r="2059" ht="12.75" customHeight="1" x14ac:dyDescent="0.2"/>
    <row r="2060" ht="12.75" customHeight="1" x14ac:dyDescent="0.2"/>
    <row r="2061" ht="12.75" customHeight="1" x14ac:dyDescent="0.2"/>
    <row r="2062" ht="12.75" customHeight="1" x14ac:dyDescent="0.2"/>
    <row r="2063" ht="12.75" customHeight="1" x14ac:dyDescent="0.2"/>
    <row r="2064" ht="12.75" customHeight="1" x14ac:dyDescent="0.2"/>
    <row r="2065" ht="12.75" customHeight="1" x14ac:dyDescent="0.2"/>
    <row r="2066" ht="12.75" customHeight="1" x14ac:dyDescent="0.2"/>
    <row r="2067" ht="12.75" customHeight="1" x14ac:dyDescent="0.2"/>
    <row r="2068" ht="12.75" customHeight="1" x14ac:dyDescent="0.2"/>
    <row r="2069" ht="12.75" customHeight="1" x14ac:dyDescent="0.2"/>
    <row r="2070" ht="12.75" customHeight="1" x14ac:dyDescent="0.2"/>
    <row r="2071" ht="12.75" customHeight="1" x14ac:dyDescent="0.2"/>
    <row r="2072" ht="12.75" customHeight="1" x14ac:dyDescent="0.2"/>
    <row r="2073" ht="12.75" customHeight="1" x14ac:dyDescent="0.2"/>
    <row r="2074" ht="12.75" customHeight="1" x14ac:dyDescent="0.2"/>
    <row r="2075" ht="12.75" customHeight="1" x14ac:dyDescent="0.2"/>
    <row r="2076" ht="12.75" customHeight="1" x14ac:dyDescent="0.2"/>
    <row r="2077" ht="12.75" customHeight="1" x14ac:dyDescent="0.2"/>
    <row r="2078" ht="12.75" customHeight="1" x14ac:dyDescent="0.2"/>
    <row r="2079" ht="12.75" customHeight="1" x14ac:dyDescent="0.2"/>
    <row r="2080" ht="12.75" customHeight="1" x14ac:dyDescent="0.2"/>
    <row r="2081" ht="12.75" customHeight="1" x14ac:dyDescent="0.2"/>
    <row r="2082" ht="12.75" customHeight="1" x14ac:dyDescent="0.2"/>
    <row r="2083" ht="12.75" customHeight="1" x14ac:dyDescent="0.2"/>
    <row r="2084" ht="12.75" customHeight="1" x14ac:dyDescent="0.2"/>
    <row r="2085" ht="12.75" customHeight="1" x14ac:dyDescent="0.2"/>
    <row r="2086" ht="12.75" customHeight="1" x14ac:dyDescent="0.2"/>
    <row r="2087" ht="12.75" customHeight="1" x14ac:dyDescent="0.2"/>
    <row r="2088" ht="12.75" customHeight="1" x14ac:dyDescent="0.2"/>
    <row r="2089" ht="12.75" customHeight="1" x14ac:dyDescent="0.2"/>
    <row r="2090" ht="12.75" customHeight="1" x14ac:dyDescent="0.2"/>
    <row r="2091" ht="12.75" customHeight="1" x14ac:dyDescent="0.2"/>
    <row r="2092" ht="12.75" customHeight="1" x14ac:dyDescent="0.2"/>
    <row r="2093" ht="12.75" customHeight="1" x14ac:dyDescent="0.2"/>
    <row r="2094" ht="12.75" customHeight="1" x14ac:dyDescent="0.2"/>
    <row r="2095" ht="12.75" customHeight="1" x14ac:dyDescent="0.2"/>
    <row r="2096" ht="12.75" customHeight="1" x14ac:dyDescent="0.2"/>
    <row r="2097" ht="12.75" customHeight="1" x14ac:dyDescent="0.2"/>
    <row r="2098" ht="12.75" customHeight="1" x14ac:dyDescent="0.2"/>
    <row r="2099" ht="12.75" customHeight="1" x14ac:dyDescent="0.2"/>
    <row r="2100" ht="12.75" customHeight="1" x14ac:dyDescent="0.2"/>
    <row r="2101" ht="12.75" customHeight="1" x14ac:dyDescent="0.2"/>
    <row r="2102" ht="12.75" customHeight="1" x14ac:dyDescent="0.2"/>
    <row r="2103" ht="12.75" customHeight="1" x14ac:dyDescent="0.2"/>
    <row r="2104" ht="12.75" customHeight="1" x14ac:dyDescent="0.2"/>
    <row r="2105" ht="12.75" customHeight="1" x14ac:dyDescent="0.2"/>
    <row r="2106" ht="12.75" customHeight="1" x14ac:dyDescent="0.2"/>
    <row r="2107" ht="12.75" customHeight="1" x14ac:dyDescent="0.2"/>
    <row r="2108" ht="12.75" customHeight="1" x14ac:dyDescent="0.2"/>
    <row r="2109" ht="12.75" customHeight="1" x14ac:dyDescent="0.2"/>
    <row r="2110" ht="12.75" customHeight="1" x14ac:dyDescent="0.2"/>
    <row r="2111" ht="12.75" customHeight="1" x14ac:dyDescent="0.2"/>
    <row r="2112" ht="12.75" customHeight="1" x14ac:dyDescent="0.2"/>
    <row r="2113" ht="12.75" customHeight="1" x14ac:dyDescent="0.2"/>
    <row r="2114" ht="12.75" customHeight="1" x14ac:dyDescent="0.2"/>
    <row r="2115" ht="12.75" customHeight="1" x14ac:dyDescent="0.2"/>
    <row r="2116" ht="12.75" customHeight="1" x14ac:dyDescent="0.2"/>
    <row r="2117" ht="12.75" customHeight="1" x14ac:dyDescent="0.2"/>
    <row r="2118" ht="12.75" customHeight="1" x14ac:dyDescent="0.2"/>
    <row r="2119" ht="12.75" customHeight="1" x14ac:dyDescent="0.2"/>
    <row r="2120" ht="12.75" customHeight="1" x14ac:dyDescent="0.2"/>
    <row r="2121" ht="12.75" customHeight="1" x14ac:dyDescent="0.2"/>
    <row r="2122" ht="12.75" customHeight="1" x14ac:dyDescent="0.2"/>
    <row r="2123" ht="12.75" customHeight="1" x14ac:dyDescent="0.2"/>
    <row r="2124" ht="12.75" customHeight="1" x14ac:dyDescent="0.2"/>
    <row r="2125" ht="12.75" customHeight="1" x14ac:dyDescent="0.2"/>
    <row r="2126" ht="12.75" customHeight="1" x14ac:dyDescent="0.2"/>
    <row r="2127" ht="12.75" customHeight="1" x14ac:dyDescent="0.2"/>
    <row r="2128" ht="12.75" customHeight="1" x14ac:dyDescent="0.2"/>
    <row r="2129" ht="12.75" customHeight="1" x14ac:dyDescent="0.2"/>
    <row r="2130" ht="12.75" customHeight="1" x14ac:dyDescent="0.2"/>
    <row r="2131" ht="12.75" customHeight="1" x14ac:dyDescent="0.2"/>
    <row r="2132" ht="12.75" customHeight="1" x14ac:dyDescent="0.2"/>
    <row r="2133" ht="12.75" customHeight="1" x14ac:dyDescent="0.2"/>
    <row r="2134" ht="12.75" customHeight="1" x14ac:dyDescent="0.2"/>
    <row r="2135" ht="12.75" customHeight="1" x14ac:dyDescent="0.2"/>
    <row r="2136" ht="12.75" customHeight="1" x14ac:dyDescent="0.2"/>
    <row r="2137" ht="12.75" customHeight="1" x14ac:dyDescent="0.2"/>
    <row r="2138" ht="12.75" customHeight="1" x14ac:dyDescent="0.2"/>
    <row r="2139" ht="12.75" customHeight="1" x14ac:dyDescent="0.2"/>
    <row r="2140" ht="12.75" customHeight="1" x14ac:dyDescent="0.2"/>
    <row r="2141" ht="12.75" customHeight="1" x14ac:dyDescent="0.2"/>
    <row r="2142" ht="12.75" customHeight="1" x14ac:dyDescent="0.2"/>
    <row r="2143" ht="12.75" customHeight="1" x14ac:dyDescent="0.2"/>
    <row r="2144" ht="12.75" customHeight="1" x14ac:dyDescent="0.2"/>
    <row r="2145" ht="12.75" customHeight="1" x14ac:dyDescent="0.2"/>
    <row r="2146" ht="12.75" customHeight="1" x14ac:dyDescent="0.2"/>
    <row r="2147" ht="12.75" customHeight="1" x14ac:dyDescent="0.2"/>
    <row r="2148" ht="12.75" customHeight="1" x14ac:dyDescent="0.2"/>
    <row r="2149" ht="12.75" customHeight="1" x14ac:dyDescent="0.2"/>
    <row r="2150" ht="12.75" customHeight="1" x14ac:dyDescent="0.2"/>
    <row r="2151" ht="12.75" customHeight="1" x14ac:dyDescent="0.2"/>
    <row r="2152" ht="12.75" customHeight="1" x14ac:dyDescent="0.2"/>
    <row r="2153" ht="12.75" customHeight="1" x14ac:dyDescent="0.2"/>
    <row r="2154" ht="12.75" customHeight="1" x14ac:dyDescent="0.2"/>
    <row r="2155" ht="12.75" customHeight="1" x14ac:dyDescent="0.2"/>
    <row r="2156" ht="12.75" customHeight="1" x14ac:dyDescent="0.2"/>
    <row r="2157" ht="12.75" customHeight="1" x14ac:dyDescent="0.2"/>
    <row r="2158" ht="12.75" customHeight="1" x14ac:dyDescent="0.2"/>
    <row r="2159" ht="12.75" customHeight="1" x14ac:dyDescent="0.2"/>
    <row r="2160" ht="12.75" customHeight="1" x14ac:dyDescent="0.2"/>
    <row r="2161" ht="12.75" customHeight="1" x14ac:dyDescent="0.2"/>
    <row r="2162" ht="12.75" customHeight="1" x14ac:dyDescent="0.2"/>
    <row r="2163" ht="12.75" customHeight="1" x14ac:dyDescent="0.2"/>
    <row r="2164" ht="12.75" customHeight="1" x14ac:dyDescent="0.2"/>
    <row r="2165" ht="12.75" customHeight="1" x14ac:dyDescent="0.2"/>
    <row r="2166" ht="12.75" customHeight="1" x14ac:dyDescent="0.2"/>
    <row r="2167" ht="12.75" customHeight="1" x14ac:dyDescent="0.2"/>
    <row r="2168" ht="12.75" customHeight="1" x14ac:dyDescent="0.2"/>
    <row r="2169" ht="12.75" customHeight="1" x14ac:dyDescent="0.2"/>
    <row r="2170" ht="12.75" customHeight="1" x14ac:dyDescent="0.2"/>
    <row r="2171" ht="12.75" customHeight="1" x14ac:dyDescent="0.2"/>
    <row r="2172" ht="12.75" customHeight="1" x14ac:dyDescent="0.2"/>
    <row r="2173" ht="12.75" customHeight="1" x14ac:dyDescent="0.2"/>
    <row r="2174" ht="12.75" customHeight="1" x14ac:dyDescent="0.2"/>
    <row r="2175" ht="12.75" customHeight="1" x14ac:dyDescent="0.2"/>
    <row r="2176" ht="12.75" customHeight="1" x14ac:dyDescent="0.2"/>
    <row r="2177" ht="12.75" customHeight="1" x14ac:dyDescent="0.2"/>
    <row r="2178" ht="12.75" customHeight="1" x14ac:dyDescent="0.2"/>
    <row r="2179" ht="12.75" customHeight="1" x14ac:dyDescent="0.2"/>
    <row r="2180" ht="12.75" customHeight="1" x14ac:dyDescent="0.2"/>
    <row r="2181" ht="12.75" customHeight="1" x14ac:dyDescent="0.2"/>
    <row r="2182" ht="12.75" customHeight="1" x14ac:dyDescent="0.2"/>
    <row r="2183" ht="12.75" customHeight="1" x14ac:dyDescent="0.2"/>
    <row r="2184" ht="12.75" customHeight="1" x14ac:dyDescent="0.2"/>
    <row r="2185" ht="12.75" customHeight="1" x14ac:dyDescent="0.2"/>
    <row r="2186" ht="12.75" customHeight="1" x14ac:dyDescent="0.2"/>
    <row r="2187" ht="12.75" customHeight="1" x14ac:dyDescent="0.2"/>
    <row r="2188" ht="12.75" customHeight="1" x14ac:dyDescent="0.2"/>
    <row r="2189" ht="12.75" customHeight="1" x14ac:dyDescent="0.2"/>
    <row r="2190" ht="12.75" customHeight="1" x14ac:dyDescent="0.2"/>
    <row r="2191" ht="12.75" customHeight="1" x14ac:dyDescent="0.2"/>
    <row r="2192" ht="12.75" customHeight="1" x14ac:dyDescent="0.2"/>
    <row r="2193" ht="12.75" customHeight="1" x14ac:dyDescent="0.2"/>
    <row r="2194" ht="12.75" customHeight="1" x14ac:dyDescent="0.2"/>
    <row r="2195" ht="12.75" customHeight="1" x14ac:dyDescent="0.2"/>
    <row r="2196" ht="12.75" customHeight="1" x14ac:dyDescent="0.2"/>
    <row r="2197" ht="12.75" customHeight="1" x14ac:dyDescent="0.2"/>
    <row r="2198" ht="12.75" customHeight="1" x14ac:dyDescent="0.2"/>
    <row r="2199" ht="12.75" customHeight="1" x14ac:dyDescent="0.2"/>
    <row r="2200" ht="12.75" customHeight="1" x14ac:dyDescent="0.2"/>
    <row r="2201" ht="12.75" customHeight="1" x14ac:dyDescent="0.2"/>
    <row r="2202" ht="12.75" customHeight="1" x14ac:dyDescent="0.2"/>
    <row r="2203" ht="12.75" customHeight="1" x14ac:dyDescent="0.2"/>
    <row r="2204" ht="12.75" customHeight="1" x14ac:dyDescent="0.2"/>
    <row r="2205" ht="12.75" customHeight="1" x14ac:dyDescent="0.2"/>
    <row r="2206" ht="12.75" customHeight="1" x14ac:dyDescent="0.2"/>
    <row r="2207" ht="12.75" customHeight="1" x14ac:dyDescent="0.2"/>
    <row r="2208" ht="12.75" customHeight="1" x14ac:dyDescent="0.2"/>
    <row r="2209" ht="12.75" customHeight="1" x14ac:dyDescent="0.2"/>
    <row r="2210" ht="12.75" customHeight="1" x14ac:dyDescent="0.2"/>
    <row r="2211" ht="12.75" customHeight="1" x14ac:dyDescent="0.2"/>
    <row r="2212" ht="12.75" customHeight="1" x14ac:dyDescent="0.2"/>
    <row r="2213" ht="12.75" customHeight="1" x14ac:dyDescent="0.2"/>
    <row r="2214" ht="12.75" customHeight="1" x14ac:dyDescent="0.2"/>
    <row r="2215" ht="12.75" customHeight="1" x14ac:dyDescent="0.2"/>
    <row r="2216" ht="12.75" customHeight="1" x14ac:dyDescent="0.2"/>
    <row r="2217" ht="12.75" customHeight="1" x14ac:dyDescent="0.2"/>
    <row r="2218" ht="12.75" customHeight="1" x14ac:dyDescent="0.2"/>
    <row r="2219" ht="12.75" customHeight="1" x14ac:dyDescent="0.2"/>
    <row r="2220" ht="12.75" customHeight="1" x14ac:dyDescent="0.2"/>
    <row r="2221" ht="12.75" customHeight="1" x14ac:dyDescent="0.2"/>
    <row r="2222" ht="12.75" customHeight="1" x14ac:dyDescent="0.2"/>
    <row r="2223" ht="12.75" customHeight="1" x14ac:dyDescent="0.2"/>
    <row r="2224" ht="12.75" customHeight="1" x14ac:dyDescent="0.2"/>
    <row r="2225" ht="12.75" customHeight="1" x14ac:dyDescent="0.2"/>
    <row r="2226" ht="12.75" customHeight="1" x14ac:dyDescent="0.2"/>
    <row r="2227" ht="12.75" customHeight="1" x14ac:dyDescent="0.2"/>
    <row r="2228" ht="12.75" customHeight="1" x14ac:dyDescent="0.2"/>
    <row r="2229" ht="12.75" customHeight="1" x14ac:dyDescent="0.2"/>
    <row r="2230" ht="12.75" customHeight="1" x14ac:dyDescent="0.2"/>
    <row r="2231" ht="12.75" customHeight="1" x14ac:dyDescent="0.2"/>
    <row r="2232" ht="12.75" customHeight="1" x14ac:dyDescent="0.2"/>
    <row r="2233" ht="12.75" customHeight="1" x14ac:dyDescent="0.2"/>
    <row r="2234" ht="12.75" customHeight="1" x14ac:dyDescent="0.2"/>
    <row r="2235" ht="12.75" customHeight="1" x14ac:dyDescent="0.2"/>
    <row r="2236" ht="12.75" customHeight="1" x14ac:dyDescent="0.2"/>
    <row r="2237" ht="12.75" customHeight="1" x14ac:dyDescent="0.2"/>
    <row r="2238" ht="12.75" customHeight="1" x14ac:dyDescent="0.2"/>
    <row r="2239" ht="12.75" customHeight="1" x14ac:dyDescent="0.2"/>
    <row r="2240" ht="12.75" customHeight="1" x14ac:dyDescent="0.2"/>
    <row r="2241" ht="12.75" customHeight="1" x14ac:dyDescent="0.2"/>
    <row r="2242" ht="12.75" customHeight="1" x14ac:dyDescent="0.2"/>
    <row r="2243" ht="12.75" customHeight="1" x14ac:dyDescent="0.2"/>
    <row r="2244" ht="12.75" customHeight="1" x14ac:dyDescent="0.2"/>
    <row r="2245" ht="12.75" customHeight="1" x14ac:dyDescent="0.2"/>
    <row r="2246" ht="12.75" customHeight="1" x14ac:dyDescent="0.2"/>
    <row r="2247" ht="12.75" customHeight="1" x14ac:dyDescent="0.2"/>
    <row r="2248" ht="12.75" customHeight="1" x14ac:dyDescent="0.2"/>
    <row r="2249" ht="12.75" customHeight="1" x14ac:dyDescent="0.2"/>
    <row r="2250" ht="12.75" customHeight="1" x14ac:dyDescent="0.2"/>
    <row r="2251" ht="12.75" customHeight="1" x14ac:dyDescent="0.2"/>
    <row r="2252" ht="12.75" customHeight="1" x14ac:dyDescent="0.2"/>
    <row r="2253" ht="12.75" customHeight="1" x14ac:dyDescent="0.2"/>
    <row r="2254" ht="12.75" customHeight="1" x14ac:dyDescent="0.2"/>
    <row r="2255" ht="12.75" customHeight="1" x14ac:dyDescent="0.2"/>
    <row r="2256" ht="12.75" customHeight="1" x14ac:dyDescent="0.2"/>
    <row r="2257" ht="12.75" customHeight="1" x14ac:dyDescent="0.2"/>
    <row r="2258" ht="12.75" customHeight="1" x14ac:dyDescent="0.2"/>
    <row r="2259" ht="12.75" customHeight="1" x14ac:dyDescent="0.2"/>
    <row r="2260" ht="12.75" customHeight="1" x14ac:dyDescent="0.2"/>
    <row r="2261" ht="12.75" customHeight="1" x14ac:dyDescent="0.2"/>
    <row r="2262" ht="12.75" customHeight="1" x14ac:dyDescent="0.2"/>
    <row r="2263" ht="12.75" customHeight="1" x14ac:dyDescent="0.2"/>
    <row r="2264" ht="12.75" customHeight="1" x14ac:dyDescent="0.2"/>
    <row r="2265" ht="12.75" customHeight="1" x14ac:dyDescent="0.2"/>
    <row r="2266" ht="12.75" customHeight="1" x14ac:dyDescent="0.2"/>
    <row r="2267" ht="12.75" customHeight="1" x14ac:dyDescent="0.2"/>
    <row r="2268" ht="12.75" customHeight="1" x14ac:dyDescent="0.2"/>
    <row r="2269" ht="12.75" customHeight="1" x14ac:dyDescent="0.2"/>
    <row r="2270" ht="12.75" customHeight="1" x14ac:dyDescent="0.2"/>
    <row r="2271" ht="12.75" customHeight="1" x14ac:dyDescent="0.2"/>
    <row r="2272" ht="12.75" customHeight="1" x14ac:dyDescent="0.2"/>
    <row r="2273" ht="12.75" customHeight="1" x14ac:dyDescent="0.2"/>
    <row r="2274" ht="12.75" customHeight="1" x14ac:dyDescent="0.2"/>
    <row r="2275" ht="12.75" customHeight="1" x14ac:dyDescent="0.2"/>
    <row r="2276" ht="12.75" customHeight="1" x14ac:dyDescent="0.2"/>
    <row r="2277" ht="12.75" customHeight="1" x14ac:dyDescent="0.2"/>
    <row r="2278" ht="12.75" customHeight="1" x14ac:dyDescent="0.2"/>
    <row r="2279" ht="12.75" customHeight="1" x14ac:dyDescent="0.2"/>
    <row r="2280" ht="12.75" customHeight="1" x14ac:dyDescent="0.2"/>
    <row r="2281" ht="12.75" customHeight="1" x14ac:dyDescent="0.2"/>
    <row r="2282" ht="12.75" customHeight="1" x14ac:dyDescent="0.2"/>
    <row r="2283" ht="12.75" customHeight="1" x14ac:dyDescent="0.2"/>
    <row r="2284" ht="12.75" customHeight="1" x14ac:dyDescent="0.2"/>
    <row r="2285" ht="12.75" customHeight="1" x14ac:dyDescent="0.2"/>
    <row r="2286" ht="12.75" customHeight="1" x14ac:dyDescent="0.2"/>
    <row r="2287" ht="12.75" customHeight="1" x14ac:dyDescent="0.2"/>
    <row r="2288" ht="12.75" customHeight="1" x14ac:dyDescent="0.2"/>
    <row r="2289" ht="12.75" customHeight="1" x14ac:dyDescent="0.2"/>
    <row r="2290" ht="12.75" customHeight="1" x14ac:dyDescent="0.2"/>
    <row r="2291" ht="12.75" customHeight="1" x14ac:dyDescent="0.2"/>
    <row r="2292" ht="12.75" customHeight="1" x14ac:dyDescent="0.2"/>
    <row r="2293" ht="12.75" customHeight="1" x14ac:dyDescent="0.2"/>
    <row r="2294" ht="12.75" customHeight="1" x14ac:dyDescent="0.2"/>
    <row r="2295" ht="12.75" customHeight="1" x14ac:dyDescent="0.2"/>
    <row r="2296" ht="12.75" customHeight="1" x14ac:dyDescent="0.2"/>
    <row r="2297" ht="12.75" customHeight="1" x14ac:dyDescent="0.2"/>
    <row r="2298" ht="12.75" customHeight="1" x14ac:dyDescent="0.2"/>
    <row r="2299" ht="12.75" customHeight="1" x14ac:dyDescent="0.2"/>
    <row r="2300" ht="12.75" customHeight="1" x14ac:dyDescent="0.2"/>
    <row r="2301" ht="12.75" customHeight="1" x14ac:dyDescent="0.2"/>
    <row r="2302" ht="12.75" customHeight="1" x14ac:dyDescent="0.2"/>
    <row r="2303" ht="12.75" customHeight="1" x14ac:dyDescent="0.2"/>
    <row r="2304" ht="12.75" customHeight="1" x14ac:dyDescent="0.2"/>
    <row r="2305" ht="12.75" customHeight="1" x14ac:dyDescent="0.2"/>
    <row r="2306" ht="12.75" customHeight="1" x14ac:dyDescent="0.2"/>
    <row r="2307" ht="12.75" customHeight="1" x14ac:dyDescent="0.2"/>
    <row r="2308" ht="12.75" customHeight="1" x14ac:dyDescent="0.2"/>
    <row r="2309" ht="12.75" customHeight="1" x14ac:dyDescent="0.2"/>
    <row r="2310" ht="12.75" customHeight="1" x14ac:dyDescent="0.2"/>
    <row r="2311" ht="12.75" customHeight="1" x14ac:dyDescent="0.2"/>
    <row r="2312" ht="12.75" customHeight="1" x14ac:dyDescent="0.2"/>
    <row r="2313" ht="12.75" customHeight="1" x14ac:dyDescent="0.2"/>
    <row r="2314" ht="12.75" customHeight="1" x14ac:dyDescent="0.2"/>
    <row r="2315" ht="12.75" customHeight="1" x14ac:dyDescent="0.2"/>
    <row r="2316" ht="12.75" customHeight="1" x14ac:dyDescent="0.2"/>
    <row r="2317" ht="12.75" customHeight="1" x14ac:dyDescent="0.2"/>
    <row r="2318" ht="12.75" customHeight="1" x14ac:dyDescent="0.2"/>
    <row r="2319" ht="12.75" customHeight="1" x14ac:dyDescent="0.2"/>
    <row r="2320" ht="12.75" customHeight="1" x14ac:dyDescent="0.2"/>
    <row r="2321" ht="12.75" customHeight="1" x14ac:dyDescent="0.2"/>
    <row r="2322" ht="12.75" customHeight="1" x14ac:dyDescent="0.2"/>
    <row r="2323" ht="12.75" customHeight="1" x14ac:dyDescent="0.2"/>
    <row r="2324" ht="12.75" customHeight="1" x14ac:dyDescent="0.2"/>
    <row r="2325" ht="12.75" customHeight="1" x14ac:dyDescent="0.2"/>
    <row r="2326" ht="12.75" customHeight="1" x14ac:dyDescent="0.2"/>
    <row r="2327" ht="12.75" customHeight="1" x14ac:dyDescent="0.2"/>
    <row r="2328" ht="12.75" customHeight="1" x14ac:dyDescent="0.2"/>
    <row r="2329" ht="12.75" customHeight="1" x14ac:dyDescent="0.2"/>
    <row r="2330" ht="12.75" customHeight="1" x14ac:dyDescent="0.2"/>
    <row r="2331" ht="12.75" customHeight="1" x14ac:dyDescent="0.2"/>
    <row r="2332" ht="12.75" customHeight="1" x14ac:dyDescent="0.2"/>
    <row r="2333" ht="12.75" customHeight="1" x14ac:dyDescent="0.2"/>
    <row r="2334" ht="12.75" customHeight="1" x14ac:dyDescent="0.2"/>
    <row r="2335" ht="12.75" customHeight="1" x14ac:dyDescent="0.2"/>
    <row r="2336" ht="12.75" customHeight="1" x14ac:dyDescent="0.2"/>
    <row r="2337" ht="12.75" customHeight="1" x14ac:dyDescent="0.2"/>
    <row r="2338" ht="12.75" customHeight="1" x14ac:dyDescent="0.2"/>
    <row r="2339" ht="12.75" customHeight="1" x14ac:dyDescent="0.2"/>
    <row r="2340" ht="12.75" customHeight="1" x14ac:dyDescent="0.2"/>
    <row r="2341" ht="12.75" customHeight="1" x14ac:dyDescent="0.2"/>
    <row r="2342" ht="12.75" customHeight="1" x14ac:dyDescent="0.2"/>
    <row r="2343" ht="12.75" customHeight="1" x14ac:dyDescent="0.2"/>
    <row r="2344" ht="12.75" customHeight="1" x14ac:dyDescent="0.2"/>
    <row r="2345" ht="12.75" customHeight="1" x14ac:dyDescent="0.2"/>
    <row r="2346" ht="12.75" customHeight="1" x14ac:dyDescent="0.2"/>
    <row r="2347" ht="12.75" customHeight="1" x14ac:dyDescent="0.2"/>
    <row r="2348" ht="12.75" customHeight="1" x14ac:dyDescent="0.2"/>
    <row r="2349" ht="12.75" customHeight="1" x14ac:dyDescent="0.2"/>
    <row r="2350" ht="12.75" customHeight="1" x14ac:dyDescent="0.2"/>
    <row r="2351" ht="12.75" customHeight="1" x14ac:dyDescent="0.2"/>
    <row r="2352" ht="12.75" customHeight="1" x14ac:dyDescent="0.2"/>
    <row r="2353" ht="12.75" customHeight="1" x14ac:dyDescent="0.2"/>
    <row r="2354" ht="12.75" customHeight="1" x14ac:dyDescent="0.2"/>
    <row r="2355" ht="12.75" customHeight="1" x14ac:dyDescent="0.2"/>
    <row r="2356" ht="12.75" customHeight="1" x14ac:dyDescent="0.2"/>
    <row r="2357" ht="12.75" customHeight="1" x14ac:dyDescent="0.2"/>
    <row r="2358" ht="12.75" customHeight="1" x14ac:dyDescent="0.2"/>
    <row r="2359" ht="12.75" customHeight="1" x14ac:dyDescent="0.2"/>
    <row r="2360" ht="12.75" customHeight="1" x14ac:dyDescent="0.2"/>
    <row r="2361" ht="12.75" customHeight="1" x14ac:dyDescent="0.2"/>
    <row r="2362" ht="12.75" customHeight="1" x14ac:dyDescent="0.2"/>
    <row r="2363" ht="12.75" customHeight="1" x14ac:dyDescent="0.2"/>
    <row r="2364" ht="12.75" customHeight="1" x14ac:dyDescent="0.2"/>
    <row r="2365" ht="12.75" customHeight="1" x14ac:dyDescent="0.2"/>
    <row r="2366" ht="12.75" customHeight="1" x14ac:dyDescent="0.2"/>
    <row r="2367" ht="12.75" customHeight="1" x14ac:dyDescent="0.2"/>
    <row r="2368" ht="12.75" customHeight="1" x14ac:dyDescent="0.2"/>
    <row r="2369" ht="12.75" customHeight="1" x14ac:dyDescent="0.2"/>
    <row r="2370" ht="12.75" customHeight="1" x14ac:dyDescent="0.2"/>
    <row r="2371" ht="12.75" customHeight="1" x14ac:dyDescent="0.2"/>
    <row r="2372" ht="12.75" customHeight="1" x14ac:dyDescent="0.2"/>
    <row r="2373" ht="12.75" customHeight="1" x14ac:dyDescent="0.2"/>
    <row r="2374" ht="12.75" customHeight="1" x14ac:dyDescent="0.2"/>
    <row r="2375" ht="12.75" customHeight="1" x14ac:dyDescent="0.2"/>
    <row r="2376" ht="12.75" customHeight="1" x14ac:dyDescent="0.2"/>
    <row r="2377" ht="12.75" customHeight="1" x14ac:dyDescent="0.2"/>
    <row r="2378" ht="12.75" customHeight="1" x14ac:dyDescent="0.2"/>
    <row r="2379" ht="12.75" customHeight="1" x14ac:dyDescent="0.2"/>
    <row r="2380" ht="12.75" customHeight="1" x14ac:dyDescent="0.2"/>
    <row r="2381" ht="12.75" customHeight="1" x14ac:dyDescent="0.2"/>
    <row r="2382" ht="12.75" customHeight="1" x14ac:dyDescent="0.2"/>
    <row r="2383" ht="12.75" customHeight="1" x14ac:dyDescent="0.2"/>
    <row r="2384" ht="12.75" customHeight="1" x14ac:dyDescent="0.2"/>
    <row r="2385" ht="12.75" customHeight="1" x14ac:dyDescent="0.2"/>
    <row r="2386" ht="12.75" customHeight="1" x14ac:dyDescent="0.2"/>
    <row r="2387" ht="12.75" customHeight="1" x14ac:dyDescent="0.2"/>
    <row r="2388" ht="12.75" customHeight="1" x14ac:dyDescent="0.2"/>
    <row r="2389" ht="12.75" customHeight="1" x14ac:dyDescent="0.2"/>
    <row r="2390" ht="12.75" customHeight="1" x14ac:dyDescent="0.2"/>
    <row r="2391" ht="12.75" customHeight="1" x14ac:dyDescent="0.2"/>
    <row r="2392" ht="12.75" customHeight="1" x14ac:dyDescent="0.2"/>
    <row r="2393" ht="12.75" customHeight="1" x14ac:dyDescent="0.2"/>
    <row r="2394" ht="12.75" customHeight="1" x14ac:dyDescent="0.2"/>
    <row r="2395" ht="12.75" customHeight="1" x14ac:dyDescent="0.2"/>
    <row r="2396" ht="12.75" customHeight="1" x14ac:dyDescent="0.2"/>
    <row r="2397" ht="12.75" customHeight="1" x14ac:dyDescent="0.2"/>
    <row r="2398" ht="12.75" customHeight="1" x14ac:dyDescent="0.2"/>
    <row r="2399" ht="12.75" customHeight="1" x14ac:dyDescent="0.2"/>
    <row r="2400" ht="12.75" customHeight="1" x14ac:dyDescent="0.2"/>
    <row r="2401" ht="12.75" customHeight="1" x14ac:dyDescent="0.2"/>
    <row r="2402" ht="12.75" customHeight="1" x14ac:dyDescent="0.2"/>
    <row r="2403" ht="12.75" customHeight="1" x14ac:dyDescent="0.2"/>
    <row r="2404" ht="12.75" customHeight="1" x14ac:dyDescent="0.2"/>
    <row r="2405" ht="12.75" customHeight="1" x14ac:dyDescent="0.2"/>
    <row r="2406" ht="12.75" customHeight="1" x14ac:dyDescent="0.2"/>
    <row r="2407" ht="12.75" customHeight="1" x14ac:dyDescent="0.2"/>
    <row r="2408" ht="12.75" customHeight="1" x14ac:dyDescent="0.2"/>
    <row r="2409" ht="12.75" customHeight="1" x14ac:dyDescent="0.2"/>
    <row r="2410" ht="12.75" customHeight="1" x14ac:dyDescent="0.2"/>
    <row r="2411" ht="12.75" customHeight="1" x14ac:dyDescent="0.2"/>
    <row r="2412" ht="12.75" customHeight="1" x14ac:dyDescent="0.2"/>
    <row r="2413" ht="12.75" customHeight="1" x14ac:dyDescent="0.2"/>
    <row r="2414" ht="12.75" customHeight="1" x14ac:dyDescent="0.2"/>
    <row r="2415" ht="12.75" customHeight="1" x14ac:dyDescent="0.2"/>
    <row r="2416" ht="12.75" customHeight="1" x14ac:dyDescent="0.2"/>
    <row r="2417" ht="12.75" customHeight="1" x14ac:dyDescent="0.2"/>
    <row r="2418" ht="12.75" customHeight="1" x14ac:dyDescent="0.2"/>
    <row r="2419" ht="12.75" customHeight="1" x14ac:dyDescent="0.2"/>
    <row r="2420" ht="12.75" customHeight="1" x14ac:dyDescent="0.2"/>
    <row r="2421" ht="12.75" customHeight="1" x14ac:dyDescent="0.2"/>
    <row r="2422" ht="12.75" customHeight="1" x14ac:dyDescent="0.2"/>
    <row r="2423" ht="12.75" customHeight="1" x14ac:dyDescent="0.2"/>
    <row r="2424" ht="12.75" customHeight="1" x14ac:dyDescent="0.2"/>
    <row r="2425" ht="12.75" customHeight="1" x14ac:dyDescent="0.2"/>
    <row r="2426" ht="12.75" customHeight="1" x14ac:dyDescent="0.2"/>
    <row r="2427" ht="12.75" customHeight="1" x14ac:dyDescent="0.2"/>
    <row r="2428" ht="12.75" customHeight="1" x14ac:dyDescent="0.2"/>
    <row r="2429" ht="12.75" customHeight="1" x14ac:dyDescent="0.2"/>
    <row r="2430" ht="12.75" customHeight="1" x14ac:dyDescent="0.2"/>
    <row r="2431" ht="12.75" customHeight="1" x14ac:dyDescent="0.2"/>
    <row r="2432" ht="12.75" customHeight="1" x14ac:dyDescent="0.2"/>
    <row r="2433" ht="12.75" customHeight="1" x14ac:dyDescent="0.2"/>
    <row r="2434" ht="12.75" customHeight="1" x14ac:dyDescent="0.2"/>
    <row r="2435" ht="12.75" customHeight="1" x14ac:dyDescent="0.2"/>
    <row r="2436" ht="12.75" customHeight="1" x14ac:dyDescent="0.2"/>
    <row r="2437" ht="12.75" customHeight="1" x14ac:dyDescent="0.2"/>
    <row r="2438" ht="12.75" customHeight="1" x14ac:dyDescent="0.2"/>
    <row r="2439" ht="12.75" customHeight="1" x14ac:dyDescent="0.2"/>
    <row r="2440" ht="12.75" customHeight="1" x14ac:dyDescent="0.2"/>
    <row r="2441" ht="12.75" customHeight="1" x14ac:dyDescent="0.2"/>
    <row r="2442" ht="12.75" customHeight="1" x14ac:dyDescent="0.2"/>
    <row r="2443" ht="12.75" customHeight="1" x14ac:dyDescent="0.2"/>
    <row r="2444" ht="12.75" customHeight="1" x14ac:dyDescent="0.2"/>
    <row r="2445" ht="12.75" customHeight="1" x14ac:dyDescent="0.2"/>
    <row r="2446" ht="12.75" customHeight="1" x14ac:dyDescent="0.2"/>
    <row r="2447" ht="12.75" customHeight="1" x14ac:dyDescent="0.2"/>
    <row r="2448" ht="12.75" customHeight="1" x14ac:dyDescent="0.2"/>
    <row r="2449" ht="12.75" customHeight="1" x14ac:dyDescent="0.2"/>
    <row r="2450" ht="12.75" customHeight="1" x14ac:dyDescent="0.2"/>
    <row r="2451" ht="12.75" customHeight="1" x14ac:dyDescent="0.2"/>
    <row r="2452" ht="12.75" customHeight="1" x14ac:dyDescent="0.2"/>
    <row r="2453" ht="12.75" customHeight="1" x14ac:dyDescent="0.2"/>
    <row r="2454" ht="12.75" customHeight="1" x14ac:dyDescent="0.2"/>
    <row r="2455" ht="12.75" customHeight="1" x14ac:dyDescent="0.2"/>
    <row r="2456" ht="12.75" customHeight="1" x14ac:dyDescent="0.2"/>
    <row r="2457" ht="12.75" customHeight="1" x14ac:dyDescent="0.2"/>
    <row r="2458" ht="12.75" customHeight="1" x14ac:dyDescent="0.2"/>
    <row r="2459" ht="12.75" customHeight="1" x14ac:dyDescent="0.2"/>
    <row r="2460" ht="12.75" customHeight="1" x14ac:dyDescent="0.2"/>
    <row r="2461" ht="12.75" customHeight="1" x14ac:dyDescent="0.2"/>
    <row r="2462" ht="12.75" customHeight="1" x14ac:dyDescent="0.2"/>
    <row r="2463" ht="12.75" customHeight="1" x14ac:dyDescent="0.2"/>
    <row r="2464" ht="12.75" customHeight="1" x14ac:dyDescent="0.2"/>
    <row r="2465" ht="12.75" customHeight="1" x14ac:dyDescent="0.2"/>
    <row r="2466" ht="12.75" customHeight="1" x14ac:dyDescent="0.2"/>
    <row r="2467" ht="12.75" customHeight="1" x14ac:dyDescent="0.2"/>
    <row r="2468" ht="12.75" customHeight="1" x14ac:dyDescent="0.2"/>
    <row r="2469" ht="12.75" customHeight="1" x14ac:dyDescent="0.2"/>
    <row r="2470" ht="12.75" customHeight="1" x14ac:dyDescent="0.2"/>
    <row r="2471" ht="12.75" customHeight="1" x14ac:dyDescent="0.2"/>
    <row r="2472" ht="12.75" customHeight="1" x14ac:dyDescent="0.2"/>
    <row r="2473" ht="12.75" customHeight="1" x14ac:dyDescent="0.2"/>
    <row r="2474" ht="12.75" customHeight="1" x14ac:dyDescent="0.2"/>
    <row r="2475" ht="12.75" customHeight="1" x14ac:dyDescent="0.2"/>
    <row r="2476" ht="12.75" customHeight="1" x14ac:dyDescent="0.2"/>
    <row r="2477" ht="12.75" customHeight="1" x14ac:dyDescent="0.2"/>
    <row r="2478" ht="12.75" customHeight="1" x14ac:dyDescent="0.2"/>
    <row r="2479" ht="12.75" customHeight="1" x14ac:dyDescent="0.2"/>
    <row r="2480" ht="12.75" customHeight="1" x14ac:dyDescent="0.2"/>
    <row r="2481" ht="12.75" customHeight="1" x14ac:dyDescent="0.2"/>
    <row r="2482" ht="12.75" customHeight="1" x14ac:dyDescent="0.2"/>
    <row r="2483" ht="12.75" customHeight="1" x14ac:dyDescent="0.2"/>
    <row r="2484" ht="12.75" customHeight="1" x14ac:dyDescent="0.2"/>
    <row r="2485" ht="12.75" customHeight="1" x14ac:dyDescent="0.2"/>
    <row r="2486" ht="12.75" customHeight="1" x14ac:dyDescent="0.2"/>
    <row r="2487" ht="12.75" customHeight="1" x14ac:dyDescent="0.2"/>
    <row r="2488" ht="12.75" customHeight="1" x14ac:dyDescent="0.2"/>
    <row r="2489" ht="12.75" customHeight="1" x14ac:dyDescent="0.2"/>
    <row r="2490" ht="12.75" customHeight="1" x14ac:dyDescent="0.2"/>
    <row r="2491" ht="12.75" customHeight="1" x14ac:dyDescent="0.2"/>
    <row r="2492" ht="12.75" customHeight="1" x14ac:dyDescent="0.2"/>
    <row r="2493" ht="12.75" customHeight="1" x14ac:dyDescent="0.2"/>
    <row r="2494" ht="12.75" customHeight="1" x14ac:dyDescent="0.2"/>
    <row r="2495" ht="12.75" customHeight="1" x14ac:dyDescent="0.2"/>
    <row r="2496" ht="12.75" customHeight="1" x14ac:dyDescent="0.2"/>
    <row r="2497" ht="12.75" customHeight="1" x14ac:dyDescent="0.2"/>
    <row r="2498" ht="12.75" customHeight="1" x14ac:dyDescent="0.2"/>
    <row r="2499" ht="12.75" customHeight="1" x14ac:dyDescent="0.2"/>
    <row r="2500" ht="12.75" customHeight="1" x14ac:dyDescent="0.2"/>
    <row r="2501" ht="12.75" customHeight="1" x14ac:dyDescent="0.2"/>
    <row r="2502" ht="12.75" customHeight="1" x14ac:dyDescent="0.2"/>
    <row r="2503" ht="12.75" customHeight="1" x14ac:dyDescent="0.2"/>
    <row r="2504" ht="12.75" customHeight="1" x14ac:dyDescent="0.2"/>
    <row r="2505" ht="12.75" customHeight="1" x14ac:dyDescent="0.2"/>
    <row r="2506" ht="12.75" customHeight="1" x14ac:dyDescent="0.2"/>
    <row r="2507" ht="12.75" customHeight="1" x14ac:dyDescent="0.2"/>
    <row r="2508" ht="12.75" customHeight="1" x14ac:dyDescent="0.2"/>
    <row r="2509" ht="12.75" customHeight="1" x14ac:dyDescent="0.2"/>
    <row r="2510" ht="12.75" customHeight="1" x14ac:dyDescent="0.2"/>
    <row r="2511" ht="12.75" customHeight="1" x14ac:dyDescent="0.2"/>
    <row r="2512" ht="12.75" customHeight="1" x14ac:dyDescent="0.2"/>
    <row r="2513" ht="12.75" customHeight="1" x14ac:dyDescent="0.2"/>
    <row r="2514" ht="12.75" customHeight="1" x14ac:dyDescent="0.2"/>
    <row r="2515" ht="12.75" customHeight="1" x14ac:dyDescent="0.2"/>
    <row r="2516" ht="12.75" customHeight="1" x14ac:dyDescent="0.2"/>
    <row r="2517" ht="12.75" customHeight="1" x14ac:dyDescent="0.2"/>
    <row r="2518" ht="12.75" customHeight="1" x14ac:dyDescent="0.2"/>
    <row r="2519" ht="12.75" customHeight="1" x14ac:dyDescent="0.2"/>
    <row r="2520" ht="12.75" customHeight="1" x14ac:dyDescent="0.2"/>
    <row r="2521" ht="12.75" customHeight="1" x14ac:dyDescent="0.2"/>
    <row r="2522" ht="12.75" customHeight="1" x14ac:dyDescent="0.2"/>
    <row r="2523" ht="12.75" customHeight="1" x14ac:dyDescent="0.2"/>
    <row r="2524" ht="12.75" customHeight="1" x14ac:dyDescent="0.2"/>
    <row r="2525" ht="12.75" customHeight="1" x14ac:dyDescent="0.2"/>
    <row r="2526" ht="12.75" customHeight="1" x14ac:dyDescent="0.2"/>
    <row r="2527" ht="12.75" customHeight="1" x14ac:dyDescent="0.2"/>
    <row r="2528" ht="12.75" customHeight="1" x14ac:dyDescent="0.2"/>
    <row r="2529" ht="12.75" customHeight="1" x14ac:dyDescent="0.2"/>
    <row r="2530" ht="12.75" customHeight="1" x14ac:dyDescent="0.2"/>
    <row r="2531" ht="12.75" customHeight="1" x14ac:dyDescent="0.2"/>
    <row r="2532" ht="12.75" customHeight="1" x14ac:dyDescent="0.2"/>
    <row r="2533" ht="12.75" customHeight="1" x14ac:dyDescent="0.2"/>
    <row r="2534" ht="12.75" customHeight="1" x14ac:dyDescent="0.2"/>
    <row r="2535" ht="12.75" customHeight="1" x14ac:dyDescent="0.2"/>
    <row r="2536" ht="12.75" customHeight="1" x14ac:dyDescent="0.2"/>
    <row r="2537" ht="12.75" customHeight="1" x14ac:dyDescent="0.2"/>
    <row r="2538" ht="12.75" customHeight="1" x14ac:dyDescent="0.2"/>
    <row r="2539" ht="12.75" customHeight="1" x14ac:dyDescent="0.2"/>
    <row r="2540" ht="12.75" customHeight="1" x14ac:dyDescent="0.2"/>
    <row r="2541" ht="12.75" customHeight="1" x14ac:dyDescent="0.2"/>
    <row r="2542" ht="12.75" customHeight="1" x14ac:dyDescent="0.2"/>
    <row r="2543" ht="12.75" customHeight="1" x14ac:dyDescent="0.2"/>
    <row r="2544" ht="12.75" customHeight="1" x14ac:dyDescent="0.2"/>
    <row r="2545" ht="12.75" customHeight="1" x14ac:dyDescent="0.2"/>
    <row r="2546" ht="12.75" customHeight="1" x14ac:dyDescent="0.2"/>
    <row r="2547" ht="12.75" customHeight="1" x14ac:dyDescent="0.2"/>
    <row r="2548" ht="12.75" customHeight="1" x14ac:dyDescent="0.2"/>
    <row r="2549" ht="12.75" customHeight="1" x14ac:dyDescent="0.2"/>
    <row r="2550" ht="12.75" customHeight="1" x14ac:dyDescent="0.2"/>
    <row r="2551" ht="12.75" customHeight="1" x14ac:dyDescent="0.2"/>
    <row r="2552" ht="12.75" customHeight="1" x14ac:dyDescent="0.2"/>
    <row r="2553" ht="12.75" customHeight="1" x14ac:dyDescent="0.2"/>
    <row r="2554" ht="12.75" customHeight="1" x14ac:dyDescent="0.2"/>
    <row r="2555" ht="12.75" customHeight="1" x14ac:dyDescent="0.2"/>
    <row r="2556" ht="12.75" customHeight="1" x14ac:dyDescent="0.2"/>
    <row r="2557" ht="12.75" customHeight="1" x14ac:dyDescent="0.2"/>
    <row r="2558" ht="12.75" customHeight="1" x14ac:dyDescent="0.2"/>
    <row r="2559" ht="12.75" customHeight="1" x14ac:dyDescent="0.2"/>
    <row r="2560" ht="12.75" customHeight="1" x14ac:dyDescent="0.2"/>
    <row r="2561" ht="12.75" customHeight="1" x14ac:dyDescent="0.2"/>
    <row r="2562" ht="12.75" customHeight="1" x14ac:dyDescent="0.2"/>
    <row r="2563" ht="12.75" customHeight="1" x14ac:dyDescent="0.2"/>
    <row r="2564" ht="12.75" customHeight="1" x14ac:dyDescent="0.2"/>
    <row r="2565" ht="12.75" customHeight="1" x14ac:dyDescent="0.2"/>
    <row r="2566" ht="12.75" customHeight="1" x14ac:dyDescent="0.2"/>
    <row r="2567" ht="12.75" customHeight="1" x14ac:dyDescent="0.2"/>
    <row r="2568" ht="12.75" customHeight="1" x14ac:dyDescent="0.2"/>
    <row r="2569" ht="12.75" customHeight="1" x14ac:dyDescent="0.2"/>
    <row r="2570" ht="12.75" customHeight="1" x14ac:dyDescent="0.2"/>
    <row r="2571" ht="12.75" customHeight="1" x14ac:dyDescent="0.2"/>
    <row r="2572" ht="12.75" customHeight="1" x14ac:dyDescent="0.2"/>
    <row r="2573" ht="12.75" customHeight="1" x14ac:dyDescent="0.2"/>
    <row r="2574" ht="12.75" customHeight="1" x14ac:dyDescent="0.2"/>
    <row r="2575" ht="12.75" customHeight="1" x14ac:dyDescent="0.2"/>
    <row r="2576" ht="12.75" customHeight="1" x14ac:dyDescent="0.2"/>
    <row r="2577" ht="12.75" customHeight="1" x14ac:dyDescent="0.2"/>
    <row r="2578" ht="12.75" customHeight="1" x14ac:dyDescent="0.2"/>
    <row r="2579" ht="12.75" customHeight="1" x14ac:dyDescent="0.2"/>
    <row r="2580" ht="12.75" customHeight="1" x14ac:dyDescent="0.2"/>
    <row r="2581" ht="12.75" customHeight="1" x14ac:dyDescent="0.2"/>
    <row r="2582" ht="12.75" customHeight="1" x14ac:dyDescent="0.2"/>
    <row r="2583" ht="12.75" customHeight="1" x14ac:dyDescent="0.2"/>
    <row r="2584" ht="12.75" customHeight="1" x14ac:dyDescent="0.2"/>
    <row r="2585" ht="12.75" customHeight="1" x14ac:dyDescent="0.2"/>
    <row r="2586" ht="12.75" customHeight="1" x14ac:dyDescent="0.2"/>
    <row r="2587" ht="12.75" customHeight="1" x14ac:dyDescent="0.2"/>
    <row r="2588" ht="12.75" customHeight="1" x14ac:dyDescent="0.2"/>
    <row r="2589" ht="12.75" customHeight="1" x14ac:dyDescent="0.2"/>
    <row r="2590" ht="12.75" customHeight="1" x14ac:dyDescent="0.2"/>
    <row r="2591" ht="12.75" customHeight="1" x14ac:dyDescent="0.2"/>
    <row r="2592" ht="12.75" customHeight="1" x14ac:dyDescent="0.2"/>
    <row r="2593" ht="12.75" customHeight="1" x14ac:dyDescent="0.2"/>
    <row r="2594" ht="12.75" customHeight="1" x14ac:dyDescent="0.2"/>
    <row r="2595" ht="12.75" customHeight="1" x14ac:dyDescent="0.2"/>
    <row r="2596" ht="12.75" customHeight="1" x14ac:dyDescent="0.2"/>
    <row r="2597" ht="12.75" customHeight="1" x14ac:dyDescent="0.2"/>
    <row r="2598" ht="12.75" customHeight="1" x14ac:dyDescent="0.2"/>
    <row r="2599" ht="12.75" customHeight="1" x14ac:dyDescent="0.2"/>
    <row r="2600" ht="12.75" customHeight="1" x14ac:dyDescent="0.2"/>
    <row r="2601" ht="12.75" customHeight="1" x14ac:dyDescent="0.2"/>
    <row r="2602" ht="12.75" customHeight="1" x14ac:dyDescent="0.2"/>
    <row r="2603" ht="12.75" customHeight="1" x14ac:dyDescent="0.2"/>
    <row r="2604" ht="12.75" customHeight="1" x14ac:dyDescent="0.2"/>
    <row r="2605" ht="12.75" customHeight="1" x14ac:dyDescent="0.2"/>
    <row r="2606" ht="12.75" customHeight="1" x14ac:dyDescent="0.2"/>
    <row r="2607" ht="12.75" customHeight="1" x14ac:dyDescent="0.2"/>
    <row r="2608" ht="12.75" customHeight="1" x14ac:dyDescent="0.2"/>
    <row r="2609" ht="12.75" customHeight="1" x14ac:dyDescent="0.2"/>
    <row r="2610" ht="12.75" customHeight="1" x14ac:dyDescent="0.2"/>
    <row r="2611" ht="12.75" customHeight="1" x14ac:dyDescent="0.2"/>
    <row r="2612" ht="12.75" customHeight="1" x14ac:dyDescent="0.2"/>
    <row r="2613" ht="12.75" customHeight="1" x14ac:dyDescent="0.2"/>
    <row r="2614" ht="12.75" customHeight="1" x14ac:dyDescent="0.2"/>
    <row r="2615" ht="12.75" customHeight="1" x14ac:dyDescent="0.2"/>
    <row r="2616" ht="12.75" customHeight="1" x14ac:dyDescent="0.2"/>
    <row r="2617" ht="12.75" customHeight="1" x14ac:dyDescent="0.2"/>
    <row r="2618" ht="12.75" customHeight="1" x14ac:dyDescent="0.2"/>
    <row r="2619" ht="12.75" customHeight="1" x14ac:dyDescent="0.2"/>
    <row r="2620" ht="12.75" customHeight="1" x14ac:dyDescent="0.2"/>
    <row r="2621" ht="12.75" customHeight="1" x14ac:dyDescent="0.2"/>
    <row r="2622" ht="12.75" customHeight="1" x14ac:dyDescent="0.2"/>
    <row r="2623" ht="12.75" customHeight="1" x14ac:dyDescent="0.2"/>
    <row r="2624" ht="12.75" customHeight="1" x14ac:dyDescent="0.2"/>
    <row r="2625" ht="12.75" customHeight="1" x14ac:dyDescent="0.2"/>
    <row r="2626" ht="12.75" customHeight="1" x14ac:dyDescent="0.2"/>
    <row r="2627" ht="12.75" customHeight="1" x14ac:dyDescent="0.2"/>
    <row r="2628" ht="12.75" customHeight="1" x14ac:dyDescent="0.2"/>
    <row r="2629" ht="12.75" customHeight="1" x14ac:dyDescent="0.2"/>
    <row r="2630" ht="12.75" customHeight="1" x14ac:dyDescent="0.2"/>
    <row r="2631" ht="12.75" customHeight="1" x14ac:dyDescent="0.2"/>
    <row r="2632" ht="12.75" customHeight="1" x14ac:dyDescent="0.2"/>
    <row r="2633" ht="12.75" customHeight="1" x14ac:dyDescent="0.2"/>
    <row r="2634" ht="12.75" customHeight="1" x14ac:dyDescent="0.2"/>
    <row r="2635" ht="12.75" customHeight="1" x14ac:dyDescent="0.2"/>
    <row r="2636" ht="12.75" customHeight="1" x14ac:dyDescent="0.2"/>
    <row r="2637" ht="12.75" customHeight="1" x14ac:dyDescent="0.2"/>
    <row r="2638" ht="12.75" customHeight="1" x14ac:dyDescent="0.2"/>
    <row r="2639" ht="12.75" customHeight="1" x14ac:dyDescent="0.2"/>
    <row r="2640" ht="12.75" customHeight="1" x14ac:dyDescent="0.2"/>
    <row r="2641" ht="12.75" customHeight="1" x14ac:dyDescent="0.2"/>
    <row r="2642" ht="12.75" customHeight="1" x14ac:dyDescent="0.2"/>
    <row r="2643" ht="12.75" customHeight="1" x14ac:dyDescent="0.2"/>
    <row r="2644" ht="12.75" customHeight="1" x14ac:dyDescent="0.2"/>
    <row r="2645" ht="12.75" customHeight="1" x14ac:dyDescent="0.2"/>
    <row r="2646" ht="12.75" customHeight="1" x14ac:dyDescent="0.2"/>
    <row r="2647" ht="12.75" customHeight="1" x14ac:dyDescent="0.2"/>
    <row r="2648" ht="12.75" customHeight="1" x14ac:dyDescent="0.2"/>
    <row r="2649" ht="12.75" customHeight="1" x14ac:dyDescent="0.2"/>
    <row r="2650" ht="12.75" customHeight="1" x14ac:dyDescent="0.2"/>
    <row r="2651" ht="12.75" customHeight="1" x14ac:dyDescent="0.2"/>
    <row r="2652" ht="12.75" customHeight="1" x14ac:dyDescent="0.2"/>
    <row r="2653" ht="12.75" customHeight="1" x14ac:dyDescent="0.2"/>
    <row r="2654" ht="12.75" customHeight="1" x14ac:dyDescent="0.2"/>
    <row r="2655" ht="12.75" customHeight="1" x14ac:dyDescent="0.2"/>
    <row r="2656" ht="12.75" customHeight="1" x14ac:dyDescent="0.2"/>
    <row r="2657" ht="12.75" customHeight="1" x14ac:dyDescent="0.2"/>
    <row r="2658" ht="12.75" customHeight="1" x14ac:dyDescent="0.2"/>
    <row r="2659" ht="12.75" customHeight="1" x14ac:dyDescent="0.2"/>
    <row r="2660" ht="12.75" customHeight="1" x14ac:dyDescent="0.2"/>
    <row r="2661" ht="12.75" customHeight="1" x14ac:dyDescent="0.2"/>
    <row r="2662" ht="12.75" customHeight="1" x14ac:dyDescent="0.2"/>
    <row r="2663" ht="12.75" customHeight="1" x14ac:dyDescent="0.2"/>
    <row r="2664" ht="12.75" customHeight="1" x14ac:dyDescent="0.2"/>
    <row r="2665" ht="12.75" customHeight="1" x14ac:dyDescent="0.2"/>
    <row r="2666" ht="12.75" customHeight="1" x14ac:dyDescent="0.2"/>
    <row r="2667" ht="12.75" customHeight="1" x14ac:dyDescent="0.2"/>
    <row r="2668" ht="12.75" customHeight="1" x14ac:dyDescent="0.2"/>
    <row r="2669" ht="12.75" customHeight="1" x14ac:dyDescent="0.2"/>
    <row r="2670" ht="12.75" customHeight="1" x14ac:dyDescent="0.2"/>
    <row r="2671" ht="12.75" customHeight="1" x14ac:dyDescent="0.2"/>
    <row r="2672" ht="12.75" customHeight="1" x14ac:dyDescent="0.2"/>
    <row r="2673" ht="12.75" customHeight="1" x14ac:dyDescent="0.2"/>
    <row r="2674" ht="12.75" customHeight="1" x14ac:dyDescent="0.2"/>
    <row r="2675" ht="12.75" customHeight="1" x14ac:dyDescent="0.2"/>
    <row r="2676" ht="12.75" customHeight="1" x14ac:dyDescent="0.2"/>
    <row r="2677" ht="12.75" customHeight="1" x14ac:dyDescent="0.2"/>
    <row r="2678" ht="12.75" customHeight="1" x14ac:dyDescent="0.2"/>
    <row r="2679" ht="12.75" customHeight="1" x14ac:dyDescent="0.2"/>
    <row r="2680" ht="12.75" customHeight="1" x14ac:dyDescent="0.2"/>
    <row r="2681" ht="12.75" customHeight="1" x14ac:dyDescent="0.2"/>
    <row r="2682" ht="12.75" customHeight="1" x14ac:dyDescent="0.2"/>
    <row r="2683" ht="12.75" customHeight="1" x14ac:dyDescent="0.2"/>
    <row r="2684" ht="12.75" customHeight="1" x14ac:dyDescent="0.2"/>
    <row r="2685" ht="12.75" customHeight="1" x14ac:dyDescent="0.2"/>
    <row r="2686" ht="12.75" customHeight="1" x14ac:dyDescent="0.2"/>
    <row r="2687" ht="12.75" customHeight="1" x14ac:dyDescent="0.2"/>
    <row r="2688" ht="12.75" customHeight="1" x14ac:dyDescent="0.2"/>
    <row r="2689" ht="12.75" customHeight="1" x14ac:dyDescent="0.2"/>
    <row r="2690" ht="12.75" customHeight="1" x14ac:dyDescent="0.2"/>
    <row r="2691" ht="12.75" customHeight="1" x14ac:dyDescent="0.2"/>
    <row r="2692" ht="12.75" customHeight="1" x14ac:dyDescent="0.2"/>
    <row r="2693" ht="12.75" customHeight="1" x14ac:dyDescent="0.2"/>
    <row r="2694" ht="12.75" customHeight="1" x14ac:dyDescent="0.2"/>
    <row r="2695" ht="12.75" customHeight="1" x14ac:dyDescent="0.2"/>
    <row r="2696" ht="12.75" customHeight="1" x14ac:dyDescent="0.2"/>
    <row r="2697" ht="12.75" customHeight="1" x14ac:dyDescent="0.2"/>
    <row r="2698" ht="12.75" customHeight="1" x14ac:dyDescent="0.2"/>
    <row r="2699" ht="12.75" customHeight="1" x14ac:dyDescent="0.2"/>
    <row r="2700" ht="12.75" customHeight="1" x14ac:dyDescent="0.2"/>
    <row r="2701" ht="12.75" customHeight="1" x14ac:dyDescent="0.2"/>
    <row r="2702" ht="12.75" customHeight="1" x14ac:dyDescent="0.2"/>
    <row r="2703" ht="12.75" customHeight="1" x14ac:dyDescent="0.2"/>
    <row r="2704" ht="12.75" customHeight="1" x14ac:dyDescent="0.2"/>
    <row r="2705" ht="12.75" customHeight="1" x14ac:dyDescent="0.2"/>
    <row r="2706" ht="12.75" customHeight="1" x14ac:dyDescent="0.2"/>
    <row r="2707" ht="12.75" customHeight="1" x14ac:dyDescent="0.2"/>
    <row r="2708" ht="12.75" customHeight="1" x14ac:dyDescent="0.2"/>
    <row r="2709" ht="12.75" customHeight="1" x14ac:dyDescent="0.2"/>
    <row r="2710" ht="12.75" customHeight="1" x14ac:dyDescent="0.2"/>
    <row r="2711" ht="12.75" customHeight="1" x14ac:dyDescent="0.2"/>
    <row r="2712" ht="12.75" customHeight="1" x14ac:dyDescent="0.2"/>
    <row r="2713" ht="12.75" customHeight="1" x14ac:dyDescent="0.2"/>
    <row r="2714" ht="12.75" customHeight="1" x14ac:dyDescent="0.2"/>
    <row r="2715" ht="12.75" customHeight="1" x14ac:dyDescent="0.2"/>
    <row r="2716" ht="12.75" customHeight="1" x14ac:dyDescent="0.2"/>
    <row r="2717" ht="12.75" customHeight="1" x14ac:dyDescent="0.2"/>
    <row r="2718" ht="12.75" customHeight="1" x14ac:dyDescent="0.2"/>
    <row r="2719" ht="12.75" customHeight="1" x14ac:dyDescent="0.2"/>
    <row r="2720" ht="12.75" customHeight="1" x14ac:dyDescent="0.2"/>
    <row r="2721" ht="12.75" customHeight="1" x14ac:dyDescent="0.2"/>
    <row r="2722" ht="12.75" customHeight="1" x14ac:dyDescent="0.2"/>
    <row r="2723" ht="12.75" customHeight="1" x14ac:dyDescent="0.2"/>
    <row r="2724" ht="12.75" customHeight="1" x14ac:dyDescent="0.2"/>
    <row r="2725" ht="12.75" customHeight="1" x14ac:dyDescent="0.2"/>
    <row r="2726" ht="12.75" customHeight="1" x14ac:dyDescent="0.2"/>
    <row r="2727" ht="12.75" customHeight="1" x14ac:dyDescent="0.2"/>
    <row r="2728" ht="12.75" customHeight="1" x14ac:dyDescent="0.2"/>
    <row r="2729" ht="12.75" customHeight="1" x14ac:dyDescent="0.2"/>
    <row r="2730" ht="12.75" customHeight="1" x14ac:dyDescent="0.2"/>
    <row r="2731" ht="12.75" customHeight="1" x14ac:dyDescent="0.2"/>
    <row r="2732" ht="12.75" customHeight="1" x14ac:dyDescent="0.2"/>
    <row r="2733" ht="12.75" customHeight="1" x14ac:dyDescent="0.2"/>
    <row r="2734" ht="12.75" customHeight="1" x14ac:dyDescent="0.2"/>
    <row r="2735" ht="12.75" customHeight="1" x14ac:dyDescent="0.2"/>
    <row r="2736" ht="12.75" customHeight="1" x14ac:dyDescent="0.2"/>
    <row r="2737" ht="12.75" customHeight="1" x14ac:dyDescent="0.2"/>
    <row r="2738" ht="12.75" customHeight="1" x14ac:dyDescent="0.2"/>
    <row r="2739" ht="12.75" customHeight="1" x14ac:dyDescent="0.2"/>
    <row r="2740" ht="12.75" customHeight="1" x14ac:dyDescent="0.2"/>
    <row r="2741" ht="12.75" customHeight="1" x14ac:dyDescent="0.2"/>
    <row r="2742" ht="12.75" customHeight="1" x14ac:dyDescent="0.2"/>
    <row r="2743" ht="12.75" customHeight="1" x14ac:dyDescent="0.2"/>
    <row r="2744" ht="12.75" customHeight="1" x14ac:dyDescent="0.2"/>
    <row r="2745" ht="12.75" customHeight="1" x14ac:dyDescent="0.2"/>
    <row r="2746" ht="12.75" customHeight="1" x14ac:dyDescent="0.2"/>
    <row r="2747" ht="12.75" customHeight="1" x14ac:dyDescent="0.2"/>
    <row r="2748" ht="12.75" customHeight="1" x14ac:dyDescent="0.2"/>
    <row r="2749" ht="12.75" customHeight="1" x14ac:dyDescent="0.2"/>
    <row r="2750" ht="12.75" customHeight="1" x14ac:dyDescent="0.2"/>
    <row r="2751" ht="12.75" customHeight="1" x14ac:dyDescent="0.2"/>
    <row r="2752" ht="12.75" customHeight="1" x14ac:dyDescent="0.2"/>
    <row r="2753" ht="12.75" customHeight="1" x14ac:dyDescent="0.2"/>
    <row r="2754" ht="12.75" customHeight="1" x14ac:dyDescent="0.2"/>
    <row r="2755" ht="12.75" customHeight="1" x14ac:dyDescent="0.2"/>
    <row r="2756" ht="12.75" customHeight="1" x14ac:dyDescent="0.2"/>
    <row r="2757" ht="12.75" customHeight="1" x14ac:dyDescent="0.2"/>
    <row r="2758" ht="12.75" customHeight="1" x14ac:dyDescent="0.2"/>
    <row r="2759" ht="12.75" customHeight="1" x14ac:dyDescent="0.2"/>
    <row r="2760" ht="12.75" customHeight="1" x14ac:dyDescent="0.2"/>
    <row r="2761" ht="12.75" customHeight="1" x14ac:dyDescent="0.2"/>
    <row r="2762" ht="12.75" customHeight="1" x14ac:dyDescent="0.2"/>
    <row r="2763" ht="12.75" customHeight="1" x14ac:dyDescent="0.2"/>
    <row r="2764" ht="12.75" customHeight="1" x14ac:dyDescent="0.2"/>
    <row r="2765" ht="12.75" customHeight="1" x14ac:dyDescent="0.2"/>
    <row r="2766" ht="12.75" customHeight="1" x14ac:dyDescent="0.2"/>
    <row r="2767" ht="12.75" customHeight="1" x14ac:dyDescent="0.2"/>
    <row r="2768" ht="12.75" customHeight="1" x14ac:dyDescent="0.2"/>
    <row r="2769" ht="12.75" customHeight="1" x14ac:dyDescent="0.2"/>
    <row r="2770" ht="12.75" customHeight="1" x14ac:dyDescent="0.2"/>
    <row r="2771" ht="12.75" customHeight="1" x14ac:dyDescent="0.2"/>
    <row r="2772" ht="12.75" customHeight="1" x14ac:dyDescent="0.2"/>
    <row r="2773" ht="12.75" customHeight="1" x14ac:dyDescent="0.2"/>
    <row r="2774" ht="12.75" customHeight="1" x14ac:dyDescent="0.2"/>
    <row r="2775" ht="12.75" customHeight="1" x14ac:dyDescent="0.2"/>
    <row r="2776" ht="12.75" customHeight="1" x14ac:dyDescent="0.2"/>
    <row r="2777" ht="12.75" customHeight="1" x14ac:dyDescent="0.2"/>
    <row r="2778" ht="12.75" customHeight="1" x14ac:dyDescent="0.2"/>
    <row r="2779" ht="12.75" customHeight="1" x14ac:dyDescent="0.2"/>
    <row r="2780" ht="12.75" customHeight="1" x14ac:dyDescent="0.2"/>
    <row r="2781" ht="12.75" customHeight="1" x14ac:dyDescent="0.2"/>
    <row r="2782" ht="12.75" customHeight="1" x14ac:dyDescent="0.2"/>
    <row r="2783" ht="12.75" customHeight="1" x14ac:dyDescent="0.2"/>
    <row r="2784" ht="12.75" customHeight="1" x14ac:dyDescent="0.2"/>
    <row r="2785" ht="12.75" customHeight="1" x14ac:dyDescent="0.2"/>
    <row r="2786" ht="12.75" customHeight="1" x14ac:dyDescent="0.2"/>
    <row r="2787" ht="12.75" customHeight="1" x14ac:dyDescent="0.2"/>
    <row r="2788" ht="12.75" customHeight="1" x14ac:dyDescent="0.2"/>
    <row r="2789" ht="12.75" customHeight="1" x14ac:dyDescent="0.2"/>
    <row r="2790" ht="12.75" customHeight="1" x14ac:dyDescent="0.2"/>
    <row r="2791" ht="12.75" customHeight="1" x14ac:dyDescent="0.2"/>
    <row r="2792" ht="12.75" customHeight="1" x14ac:dyDescent="0.2"/>
    <row r="2793" ht="12.75" customHeight="1" x14ac:dyDescent="0.2"/>
    <row r="2794" ht="12.75" customHeight="1" x14ac:dyDescent="0.2"/>
    <row r="2795" ht="12.75" customHeight="1" x14ac:dyDescent="0.2"/>
    <row r="2796" ht="12.75" customHeight="1" x14ac:dyDescent="0.2"/>
    <row r="2797" ht="12.75" customHeight="1" x14ac:dyDescent="0.2"/>
    <row r="2798" ht="12.75" customHeight="1" x14ac:dyDescent="0.2"/>
    <row r="2799" ht="12.75" customHeight="1" x14ac:dyDescent="0.2"/>
    <row r="2800" ht="12.75" customHeight="1" x14ac:dyDescent="0.2"/>
    <row r="2801" ht="12.75" customHeight="1" x14ac:dyDescent="0.2"/>
    <row r="2802" ht="12.75" customHeight="1" x14ac:dyDescent="0.2"/>
    <row r="2803" ht="12.75" customHeight="1" x14ac:dyDescent="0.2"/>
    <row r="2804" ht="12.75" customHeight="1" x14ac:dyDescent="0.2"/>
    <row r="2805" ht="12.75" customHeight="1" x14ac:dyDescent="0.2"/>
    <row r="2806" ht="12.75" customHeight="1" x14ac:dyDescent="0.2"/>
    <row r="2807" ht="12.75" customHeight="1" x14ac:dyDescent="0.2"/>
    <row r="2808" ht="12.75" customHeight="1" x14ac:dyDescent="0.2"/>
    <row r="2809" ht="12.75" customHeight="1" x14ac:dyDescent="0.2"/>
    <row r="2810" ht="12.75" customHeight="1" x14ac:dyDescent="0.2"/>
    <row r="2811" ht="12.75" customHeight="1" x14ac:dyDescent="0.2"/>
    <row r="2812" ht="12.75" customHeight="1" x14ac:dyDescent="0.2"/>
    <row r="2813" ht="12.75" customHeight="1" x14ac:dyDescent="0.2"/>
    <row r="2814" ht="12.75" customHeight="1" x14ac:dyDescent="0.2"/>
    <row r="2815" ht="12.75" customHeight="1" x14ac:dyDescent="0.2"/>
    <row r="2816" ht="12.75" customHeight="1" x14ac:dyDescent="0.2"/>
    <row r="2817" ht="12.75" customHeight="1" x14ac:dyDescent="0.2"/>
    <row r="2818" ht="12.75" customHeight="1" x14ac:dyDescent="0.2"/>
    <row r="2819" ht="12.75" customHeight="1" x14ac:dyDescent="0.2"/>
    <row r="2820" ht="12.75" customHeight="1" x14ac:dyDescent="0.2"/>
    <row r="2821" ht="12.75" customHeight="1" x14ac:dyDescent="0.2"/>
    <row r="2822" ht="12.75" customHeight="1" x14ac:dyDescent="0.2"/>
    <row r="2823" ht="12.75" customHeight="1" x14ac:dyDescent="0.2"/>
    <row r="2824" ht="12.75" customHeight="1" x14ac:dyDescent="0.2"/>
    <row r="2825" ht="12.75" customHeight="1" x14ac:dyDescent="0.2"/>
    <row r="2826" ht="12.75" customHeight="1" x14ac:dyDescent="0.2"/>
    <row r="2827" ht="12.75" customHeight="1" x14ac:dyDescent="0.2"/>
    <row r="2828" ht="12.75" customHeight="1" x14ac:dyDescent="0.2"/>
    <row r="2829" ht="12.75" customHeight="1" x14ac:dyDescent="0.2"/>
    <row r="2830" ht="12.75" customHeight="1" x14ac:dyDescent="0.2"/>
    <row r="2831" ht="12.75" customHeight="1" x14ac:dyDescent="0.2"/>
    <row r="2832" ht="12.75" customHeight="1" x14ac:dyDescent="0.2"/>
    <row r="2833" ht="12.75" customHeight="1" x14ac:dyDescent="0.2"/>
    <row r="2834" ht="12.75" customHeight="1" x14ac:dyDescent="0.2"/>
    <row r="2835" ht="12.75" customHeight="1" x14ac:dyDescent="0.2"/>
    <row r="2836" ht="12.75" customHeight="1" x14ac:dyDescent="0.2"/>
    <row r="2837" ht="12.75" customHeight="1" x14ac:dyDescent="0.2"/>
    <row r="2838" ht="12.75" customHeight="1" x14ac:dyDescent="0.2"/>
    <row r="2839" ht="12.75" customHeight="1" x14ac:dyDescent="0.2"/>
    <row r="2840" ht="12.75" customHeight="1" x14ac:dyDescent="0.2"/>
    <row r="2841" ht="12.75" customHeight="1" x14ac:dyDescent="0.2"/>
    <row r="2842" ht="12.75" customHeight="1" x14ac:dyDescent="0.2"/>
    <row r="2843" ht="12.75" customHeight="1" x14ac:dyDescent="0.2"/>
    <row r="2844" ht="12.75" customHeight="1" x14ac:dyDescent="0.2"/>
    <row r="2845" ht="12.75" customHeight="1" x14ac:dyDescent="0.2"/>
    <row r="2846" ht="12.75" customHeight="1" x14ac:dyDescent="0.2"/>
    <row r="2847" ht="12.75" customHeight="1" x14ac:dyDescent="0.2"/>
    <row r="2848" ht="12.75" customHeight="1" x14ac:dyDescent="0.2"/>
    <row r="2849" ht="12.75" customHeight="1" x14ac:dyDescent="0.2"/>
    <row r="2850" ht="12.75" customHeight="1" x14ac:dyDescent="0.2"/>
    <row r="2851" ht="12.75" customHeight="1" x14ac:dyDescent="0.2"/>
    <row r="2852" ht="12.75" customHeight="1" x14ac:dyDescent="0.2"/>
    <row r="2853" ht="12.75" customHeight="1" x14ac:dyDescent="0.2"/>
    <row r="2854" ht="12.75" customHeight="1" x14ac:dyDescent="0.2"/>
    <row r="2855" ht="12.75" customHeight="1" x14ac:dyDescent="0.2"/>
    <row r="2856" ht="12.75" customHeight="1" x14ac:dyDescent="0.2"/>
    <row r="2857" ht="12.75" customHeight="1" x14ac:dyDescent="0.2"/>
    <row r="2858" ht="12.75" customHeight="1" x14ac:dyDescent="0.2"/>
    <row r="2859" ht="12.75" customHeight="1" x14ac:dyDescent="0.2"/>
    <row r="2860" ht="12.75" customHeight="1" x14ac:dyDescent="0.2"/>
    <row r="2861" ht="12.75" customHeight="1" x14ac:dyDescent="0.2"/>
    <row r="2862" ht="12.75" customHeight="1" x14ac:dyDescent="0.2"/>
    <row r="2863" ht="12.75" customHeight="1" x14ac:dyDescent="0.2"/>
    <row r="2864" ht="12.75" customHeight="1" x14ac:dyDescent="0.2"/>
    <row r="2865" ht="12.75" customHeight="1" x14ac:dyDescent="0.2"/>
    <row r="2866" ht="12.75" customHeight="1" x14ac:dyDescent="0.2"/>
    <row r="2867" ht="12.75" customHeight="1" x14ac:dyDescent="0.2"/>
    <row r="2868" ht="12.75" customHeight="1" x14ac:dyDescent="0.2"/>
    <row r="2869" ht="12.75" customHeight="1" x14ac:dyDescent="0.2"/>
    <row r="2870" ht="12.75" customHeight="1" x14ac:dyDescent="0.2"/>
    <row r="2871" ht="12.75" customHeight="1" x14ac:dyDescent="0.2"/>
    <row r="2872" ht="12.75" customHeight="1" x14ac:dyDescent="0.2"/>
    <row r="2873" ht="12.75" customHeight="1" x14ac:dyDescent="0.2"/>
    <row r="2874" ht="12.75" customHeight="1" x14ac:dyDescent="0.2"/>
    <row r="2875" ht="12.75" customHeight="1" x14ac:dyDescent="0.2"/>
    <row r="2876" ht="12.75" customHeight="1" x14ac:dyDescent="0.2"/>
    <row r="2877" ht="12.75" customHeight="1" x14ac:dyDescent="0.2"/>
    <row r="2878" ht="12.75" customHeight="1" x14ac:dyDescent="0.2"/>
    <row r="2879" ht="12.75" customHeight="1" x14ac:dyDescent="0.2"/>
    <row r="2880" ht="12.75" customHeight="1" x14ac:dyDescent="0.2"/>
    <row r="2881" ht="12.75" customHeight="1" x14ac:dyDescent="0.2"/>
    <row r="2882" ht="12.75" customHeight="1" x14ac:dyDescent="0.2"/>
    <row r="2883" ht="12.75" customHeight="1" x14ac:dyDescent="0.2"/>
    <row r="2884" ht="12.75" customHeight="1" x14ac:dyDescent="0.2"/>
    <row r="2885" ht="12.75" customHeight="1" x14ac:dyDescent="0.2"/>
    <row r="2886" ht="12.75" customHeight="1" x14ac:dyDescent="0.2"/>
    <row r="2887" ht="12.75" customHeight="1" x14ac:dyDescent="0.2"/>
    <row r="2888" ht="12.75" customHeight="1" x14ac:dyDescent="0.2"/>
    <row r="2889" ht="12.75" customHeight="1" x14ac:dyDescent="0.2"/>
    <row r="2890" ht="12.75" customHeight="1" x14ac:dyDescent="0.2"/>
    <row r="2891" ht="12.75" customHeight="1" x14ac:dyDescent="0.2"/>
    <row r="2892" ht="12.75" customHeight="1" x14ac:dyDescent="0.2"/>
    <row r="2893" ht="12.75" customHeight="1" x14ac:dyDescent="0.2"/>
    <row r="2894" ht="12.75" customHeight="1" x14ac:dyDescent="0.2"/>
    <row r="2895" ht="12.75" customHeight="1" x14ac:dyDescent="0.2"/>
    <row r="2896" ht="12.75" customHeight="1" x14ac:dyDescent="0.2"/>
    <row r="2897" ht="12.75" customHeight="1" x14ac:dyDescent="0.2"/>
    <row r="2898" ht="12.75" customHeight="1" x14ac:dyDescent="0.2"/>
    <row r="2899" ht="12.75" customHeight="1" x14ac:dyDescent="0.2"/>
    <row r="2900" ht="12.75" customHeight="1" x14ac:dyDescent="0.2"/>
    <row r="2901" ht="12.75" customHeight="1" x14ac:dyDescent="0.2"/>
    <row r="2902" ht="12.75" customHeight="1" x14ac:dyDescent="0.2"/>
    <row r="2903" ht="12.75" customHeight="1" x14ac:dyDescent="0.2"/>
    <row r="2904" ht="12.75" customHeight="1" x14ac:dyDescent="0.2"/>
    <row r="2905" ht="12.75" customHeight="1" x14ac:dyDescent="0.2"/>
    <row r="2906" ht="12.75" customHeight="1" x14ac:dyDescent="0.2"/>
    <row r="2907" ht="12.75" customHeight="1" x14ac:dyDescent="0.2"/>
    <row r="2908" ht="12.75" customHeight="1" x14ac:dyDescent="0.2"/>
    <row r="2909" ht="12.75" customHeight="1" x14ac:dyDescent="0.2"/>
    <row r="2910" ht="12.75" customHeight="1" x14ac:dyDescent="0.2"/>
    <row r="2911" ht="12.75" customHeight="1" x14ac:dyDescent="0.2"/>
    <row r="2912" ht="12.75" customHeight="1" x14ac:dyDescent="0.2"/>
    <row r="2913" ht="12.75" customHeight="1" x14ac:dyDescent="0.2"/>
    <row r="2914" ht="12.75" customHeight="1" x14ac:dyDescent="0.2"/>
    <row r="2915" ht="12.75" customHeight="1" x14ac:dyDescent="0.2"/>
    <row r="2916" ht="12.75" customHeight="1" x14ac:dyDescent="0.2"/>
    <row r="2917" ht="12.75" customHeight="1" x14ac:dyDescent="0.2"/>
    <row r="2918" ht="12.75" customHeight="1" x14ac:dyDescent="0.2"/>
    <row r="2919" ht="12.75" customHeight="1" x14ac:dyDescent="0.2"/>
    <row r="2920" ht="12.75" customHeight="1" x14ac:dyDescent="0.2"/>
    <row r="2921" ht="12.75" customHeight="1" x14ac:dyDescent="0.2"/>
    <row r="2922" ht="12.75" customHeight="1" x14ac:dyDescent="0.2"/>
    <row r="2923" ht="12.75" customHeight="1" x14ac:dyDescent="0.2"/>
    <row r="2924" ht="12.75" customHeight="1" x14ac:dyDescent="0.2"/>
    <row r="2925" ht="12.75" customHeight="1" x14ac:dyDescent="0.2"/>
    <row r="2926" ht="12.75" customHeight="1" x14ac:dyDescent="0.2"/>
    <row r="2927" ht="12.75" customHeight="1" x14ac:dyDescent="0.2"/>
    <row r="2928" ht="12.75" customHeight="1" x14ac:dyDescent="0.2"/>
    <row r="2929" ht="12.75" customHeight="1" x14ac:dyDescent="0.2"/>
    <row r="2930" ht="12.75" customHeight="1" x14ac:dyDescent="0.2"/>
    <row r="2931" ht="12.75" customHeight="1" x14ac:dyDescent="0.2"/>
    <row r="2932" ht="12.75" customHeight="1" x14ac:dyDescent="0.2"/>
    <row r="2933" ht="12.75" customHeight="1" x14ac:dyDescent="0.2"/>
    <row r="2934" ht="12.75" customHeight="1" x14ac:dyDescent="0.2"/>
    <row r="2935" ht="12.75" customHeight="1" x14ac:dyDescent="0.2"/>
    <row r="2936" ht="12.75" customHeight="1" x14ac:dyDescent="0.2"/>
    <row r="2937" ht="12.75" customHeight="1" x14ac:dyDescent="0.2"/>
    <row r="2938" ht="12.75" customHeight="1" x14ac:dyDescent="0.2"/>
    <row r="2939" ht="12.75" customHeight="1" x14ac:dyDescent="0.2"/>
    <row r="2940" ht="12.75" customHeight="1" x14ac:dyDescent="0.2"/>
    <row r="2941" ht="12.75" customHeight="1" x14ac:dyDescent="0.2"/>
    <row r="2942" ht="12.75" customHeight="1" x14ac:dyDescent="0.2"/>
    <row r="2943" ht="12.75" customHeight="1" x14ac:dyDescent="0.2"/>
    <row r="2944" ht="12.75" customHeight="1" x14ac:dyDescent="0.2"/>
    <row r="2945" ht="12.75" customHeight="1" x14ac:dyDescent="0.2"/>
    <row r="2946" ht="12.75" customHeight="1" x14ac:dyDescent="0.2"/>
    <row r="2947" ht="12.75" customHeight="1" x14ac:dyDescent="0.2"/>
    <row r="2948" ht="12.75" customHeight="1" x14ac:dyDescent="0.2"/>
    <row r="2949" ht="12.75" customHeight="1" x14ac:dyDescent="0.2"/>
    <row r="2950" ht="12.75" customHeight="1" x14ac:dyDescent="0.2"/>
    <row r="2951" ht="12.75" customHeight="1" x14ac:dyDescent="0.2"/>
    <row r="2952" ht="12.75" customHeight="1" x14ac:dyDescent="0.2"/>
    <row r="2953" ht="12.75" customHeight="1" x14ac:dyDescent="0.2"/>
    <row r="2954" ht="12.75" customHeight="1" x14ac:dyDescent="0.2"/>
    <row r="2955" ht="12.75" customHeight="1" x14ac:dyDescent="0.2"/>
    <row r="2956" ht="12.75" customHeight="1" x14ac:dyDescent="0.2"/>
    <row r="2957" ht="12.75" customHeight="1" x14ac:dyDescent="0.2"/>
    <row r="2958" ht="12.75" customHeight="1" x14ac:dyDescent="0.2"/>
    <row r="2959" ht="12.75" customHeight="1" x14ac:dyDescent="0.2"/>
    <row r="2960" ht="12.75" customHeight="1" x14ac:dyDescent="0.2"/>
    <row r="2961" ht="12.75" customHeight="1" x14ac:dyDescent="0.2"/>
    <row r="2962" ht="12.75" customHeight="1" x14ac:dyDescent="0.2"/>
    <row r="2963" ht="12.75" customHeight="1" x14ac:dyDescent="0.2"/>
    <row r="2964" ht="12.75" customHeight="1" x14ac:dyDescent="0.2"/>
    <row r="2965" ht="12.75" customHeight="1" x14ac:dyDescent="0.2"/>
    <row r="2966" ht="12.75" customHeight="1" x14ac:dyDescent="0.2"/>
    <row r="2967" ht="12.75" customHeight="1" x14ac:dyDescent="0.2"/>
    <row r="2968" ht="12.75" customHeight="1" x14ac:dyDescent="0.2"/>
    <row r="2969" ht="12.75" customHeight="1" x14ac:dyDescent="0.2"/>
    <row r="2970" ht="12.75" customHeight="1" x14ac:dyDescent="0.2"/>
    <row r="2971" ht="12.75" customHeight="1" x14ac:dyDescent="0.2"/>
    <row r="2972" ht="12.75" customHeight="1" x14ac:dyDescent="0.2"/>
    <row r="2973" ht="12.75" customHeight="1" x14ac:dyDescent="0.2"/>
    <row r="2974" ht="12.75" customHeight="1" x14ac:dyDescent="0.2"/>
    <row r="2975" ht="12.75" customHeight="1" x14ac:dyDescent="0.2"/>
    <row r="2976" ht="12.75" customHeight="1" x14ac:dyDescent="0.2"/>
    <row r="2977" ht="12.75" customHeight="1" x14ac:dyDescent="0.2"/>
    <row r="2978" ht="12.75" customHeight="1" x14ac:dyDescent="0.2"/>
    <row r="2979" ht="12.75" customHeight="1" x14ac:dyDescent="0.2"/>
    <row r="2980" ht="12.75" customHeight="1" x14ac:dyDescent="0.2"/>
    <row r="2981" ht="12.75" customHeight="1" x14ac:dyDescent="0.2"/>
    <row r="2982" ht="12.75" customHeight="1" x14ac:dyDescent="0.2"/>
    <row r="2983" ht="12.75" customHeight="1" x14ac:dyDescent="0.2"/>
    <row r="2984" ht="12.75" customHeight="1" x14ac:dyDescent="0.2"/>
    <row r="2985" ht="12.75" customHeight="1" x14ac:dyDescent="0.2"/>
    <row r="2986" ht="12.75" customHeight="1" x14ac:dyDescent="0.2"/>
    <row r="2987" ht="12.75" customHeight="1" x14ac:dyDescent="0.2"/>
    <row r="2988" ht="12.75" customHeight="1" x14ac:dyDescent="0.2"/>
    <row r="2989" ht="12.75" customHeight="1" x14ac:dyDescent="0.2"/>
    <row r="2990" ht="12.75" customHeight="1" x14ac:dyDescent="0.2"/>
    <row r="2991" ht="12.75" customHeight="1" x14ac:dyDescent="0.2"/>
    <row r="2992" ht="12.75" customHeight="1" x14ac:dyDescent="0.2"/>
    <row r="2993" ht="12.75" customHeight="1" x14ac:dyDescent="0.2"/>
    <row r="2994" ht="12.75" customHeight="1" x14ac:dyDescent="0.2"/>
    <row r="2995" ht="12.75" customHeight="1" x14ac:dyDescent="0.2"/>
    <row r="2996" ht="12.75" customHeight="1" x14ac:dyDescent="0.2"/>
    <row r="2997" ht="12.75" customHeight="1" x14ac:dyDescent="0.2"/>
    <row r="2998" ht="12.75" customHeight="1" x14ac:dyDescent="0.2"/>
    <row r="2999" ht="12.75" customHeight="1" x14ac:dyDescent="0.2"/>
    <row r="3000" ht="12.75" customHeight="1" x14ac:dyDescent="0.2"/>
    <row r="3001" ht="12.75" customHeight="1" x14ac:dyDescent="0.2"/>
    <row r="3002" ht="12.75" customHeight="1" x14ac:dyDescent="0.2"/>
    <row r="3003" ht="12.75" customHeight="1" x14ac:dyDescent="0.2"/>
    <row r="3004" ht="12.75" customHeight="1" x14ac:dyDescent="0.2"/>
    <row r="3005" ht="12.75" customHeight="1" x14ac:dyDescent="0.2"/>
    <row r="3006" ht="12.75" customHeight="1" x14ac:dyDescent="0.2"/>
    <row r="3007" ht="12.75" customHeight="1" x14ac:dyDescent="0.2"/>
    <row r="3008" ht="12.75" customHeight="1" x14ac:dyDescent="0.2"/>
    <row r="3009" ht="12.75" customHeight="1" x14ac:dyDescent="0.2"/>
    <row r="3010" ht="12.75" customHeight="1" x14ac:dyDescent="0.2"/>
    <row r="3011" ht="12.75" customHeight="1" x14ac:dyDescent="0.2"/>
    <row r="3012" ht="12.75" customHeight="1" x14ac:dyDescent="0.2"/>
    <row r="3013" ht="12.75" customHeight="1" x14ac:dyDescent="0.2"/>
    <row r="3014" ht="12.75" customHeight="1" x14ac:dyDescent="0.2"/>
    <row r="3015" ht="12.75" customHeight="1" x14ac:dyDescent="0.2"/>
    <row r="3016" ht="12.75" customHeight="1" x14ac:dyDescent="0.2"/>
    <row r="3017" ht="12.75" customHeight="1" x14ac:dyDescent="0.2"/>
    <row r="3018" ht="12.75" customHeight="1" x14ac:dyDescent="0.2"/>
    <row r="3019" ht="12.75" customHeight="1" x14ac:dyDescent="0.2"/>
    <row r="3020" ht="12.75" customHeight="1" x14ac:dyDescent="0.2"/>
    <row r="3021" ht="12.75" customHeight="1" x14ac:dyDescent="0.2"/>
    <row r="3022" ht="12.75" customHeight="1" x14ac:dyDescent="0.2"/>
    <row r="3023" ht="12.75" customHeight="1" x14ac:dyDescent="0.2"/>
    <row r="3024" ht="12.75" customHeight="1" x14ac:dyDescent="0.2"/>
    <row r="3025" ht="12.75" customHeight="1" x14ac:dyDescent="0.2"/>
    <row r="3026" ht="12.75" customHeight="1" x14ac:dyDescent="0.2"/>
    <row r="3027" ht="12.75" customHeight="1" x14ac:dyDescent="0.2"/>
    <row r="3028" ht="12.75" customHeight="1" x14ac:dyDescent="0.2"/>
    <row r="3029" ht="12.75" customHeight="1" x14ac:dyDescent="0.2"/>
    <row r="3030" ht="12.75" customHeight="1" x14ac:dyDescent="0.2"/>
    <row r="3031" ht="12.75" customHeight="1" x14ac:dyDescent="0.2"/>
    <row r="3032" ht="12.75" customHeight="1" x14ac:dyDescent="0.2"/>
    <row r="3033" ht="12.75" customHeight="1" x14ac:dyDescent="0.2"/>
    <row r="3034" ht="12.75" customHeight="1" x14ac:dyDescent="0.2"/>
    <row r="3035" ht="12.75" customHeight="1" x14ac:dyDescent="0.2"/>
    <row r="3036" ht="12.75" customHeight="1" x14ac:dyDescent="0.2"/>
    <row r="3037" ht="12.75" customHeight="1" x14ac:dyDescent="0.2"/>
    <row r="3038" ht="12.75" customHeight="1" x14ac:dyDescent="0.2"/>
    <row r="3039" ht="12.75" customHeight="1" x14ac:dyDescent="0.2"/>
    <row r="3040" ht="12.75" customHeight="1" x14ac:dyDescent="0.2"/>
    <row r="3041" ht="12.75" customHeight="1" x14ac:dyDescent="0.2"/>
    <row r="3042" ht="12.75" customHeight="1" x14ac:dyDescent="0.2"/>
    <row r="3043" ht="12.75" customHeight="1" x14ac:dyDescent="0.2"/>
    <row r="3044" ht="12.75" customHeight="1" x14ac:dyDescent="0.2"/>
    <row r="3045" ht="12.75" customHeight="1" x14ac:dyDescent="0.2"/>
    <row r="3046" ht="12.75" customHeight="1" x14ac:dyDescent="0.2"/>
    <row r="3047" ht="12.75" customHeight="1" x14ac:dyDescent="0.2"/>
    <row r="3048" ht="12.75" customHeight="1" x14ac:dyDescent="0.2"/>
    <row r="3049" ht="12.75" customHeight="1" x14ac:dyDescent="0.2"/>
    <row r="3050" ht="12.75" customHeight="1" x14ac:dyDescent="0.2"/>
    <row r="3051" ht="12.75" customHeight="1" x14ac:dyDescent="0.2"/>
    <row r="3052" ht="12.75" customHeight="1" x14ac:dyDescent="0.2"/>
    <row r="3053" ht="12.75" customHeight="1" x14ac:dyDescent="0.2"/>
    <row r="3054" ht="12.75" customHeight="1" x14ac:dyDescent="0.2"/>
    <row r="3055" ht="12.75" customHeight="1" x14ac:dyDescent="0.2"/>
    <row r="3056" ht="12.75" customHeight="1" x14ac:dyDescent="0.2"/>
    <row r="3057" ht="12.75" customHeight="1" x14ac:dyDescent="0.2"/>
    <row r="3058" ht="12.75" customHeight="1" x14ac:dyDescent="0.2"/>
    <row r="3059" ht="12.75" customHeight="1" x14ac:dyDescent="0.2"/>
    <row r="3060" ht="12.75" customHeight="1" x14ac:dyDescent="0.2"/>
    <row r="3061" ht="12.75" customHeight="1" x14ac:dyDescent="0.2"/>
    <row r="3062" ht="12.75" customHeight="1" x14ac:dyDescent="0.2"/>
    <row r="3063" ht="12.75" customHeight="1" x14ac:dyDescent="0.2"/>
    <row r="3064" ht="12.75" customHeight="1" x14ac:dyDescent="0.2"/>
    <row r="3065" ht="12.75" customHeight="1" x14ac:dyDescent="0.2"/>
    <row r="3066" ht="12.75" customHeight="1" x14ac:dyDescent="0.2"/>
    <row r="3067" ht="12.75" customHeight="1" x14ac:dyDescent="0.2"/>
    <row r="3068" ht="12.75" customHeight="1" x14ac:dyDescent="0.2"/>
    <row r="3069" ht="12.75" customHeight="1" x14ac:dyDescent="0.2"/>
    <row r="3070" ht="12.75" customHeight="1" x14ac:dyDescent="0.2"/>
    <row r="3071" ht="12.75" customHeight="1" x14ac:dyDescent="0.2"/>
    <row r="3072" ht="12.75" customHeight="1" x14ac:dyDescent="0.2"/>
    <row r="3073" ht="12.75" customHeight="1" x14ac:dyDescent="0.2"/>
    <row r="3074" ht="12.75" customHeight="1" x14ac:dyDescent="0.2"/>
    <row r="3075" ht="12.75" customHeight="1" x14ac:dyDescent="0.2"/>
    <row r="3076" ht="12.75" customHeight="1" x14ac:dyDescent="0.2"/>
    <row r="3077" ht="12.75" customHeight="1" x14ac:dyDescent="0.2"/>
    <row r="3078" ht="12.75" customHeight="1" x14ac:dyDescent="0.2"/>
    <row r="3079" ht="12.75" customHeight="1" x14ac:dyDescent="0.2"/>
    <row r="3080" ht="12.75" customHeight="1" x14ac:dyDescent="0.2"/>
    <row r="3081" ht="12.75" customHeight="1" x14ac:dyDescent="0.2"/>
    <row r="3082" ht="12.75" customHeight="1" x14ac:dyDescent="0.2"/>
    <row r="3083" ht="12.75" customHeight="1" x14ac:dyDescent="0.2"/>
    <row r="3084" ht="12.75" customHeight="1" x14ac:dyDescent="0.2"/>
    <row r="3085" ht="12.75" customHeight="1" x14ac:dyDescent="0.2"/>
    <row r="3086" ht="12.75" customHeight="1" x14ac:dyDescent="0.2"/>
    <row r="3087" ht="12.75" customHeight="1" x14ac:dyDescent="0.2"/>
    <row r="3088" ht="12.75" customHeight="1" x14ac:dyDescent="0.2"/>
    <row r="3089" ht="12.75" customHeight="1" x14ac:dyDescent="0.2"/>
    <row r="3090" ht="12.75" customHeight="1" x14ac:dyDescent="0.2"/>
    <row r="3091" ht="12.75" customHeight="1" x14ac:dyDescent="0.2"/>
    <row r="3092" ht="12.75" customHeight="1" x14ac:dyDescent="0.2"/>
    <row r="3093" ht="12.75" customHeight="1" x14ac:dyDescent="0.2"/>
    <row r="3094" ht="12.75" customHeight="1" x14ac:dyDescent="0.2"/>
    <row r="3095" ht="12.75" customHeight="1" x14ac:dyDescent="0.2"/>
    <row r="3096" ht="12.75" customHeight="1" x14ac:dyDescent="0.2"/>
    <row r="3097" ht="12.75" customHeight="1" x14ac:dyDescent="0.2"/>
    <row r="3098" ht="12.75" customHeight="1" x14ac:dyDescent="0.2"/>
    <row r="3099" ht="12.75" customHeight="1" x14ac:dyDescent="0.2"/>
    <row r="3100" ht="12.75" customHeight="1" x14ac:dyDescent="0.2"/>
    <row r="3101" ht="12.75" customHeight="1" x14ac:dyDescent="0.2"/>
    <row r="3102" ht="12.75" customHeight="1" x14ac:dyDescent="0.2"/>
    <row r="3103" ht="12.75" customHeight="1" x14ac:dyDescent="0.2"/>
    <row r="3104" ht="12.75" customHeight="1" x14ac:dyDescent="0.2"/>
    <row r="3105" ht="12.75" customHeight="1" x14ac:dyDescent="0.2"/>
    <row r="3106" ht="12.75" customHeight="1" x14ac:dyDescent="0.2"/>
    <row r="3107" ht="12.75" customHeight="1" x14ac:dyDescent="0.2"/>
    <row r="3108" ht="12.75" customHeight="1" x14ac:dyDescent="0.2"/>
    <row r="3109" ht="12.75" customHeight="1" x14ac:dyDescent="0.2"/>
    <row r="3110" ht="12.75" customHeight="1" x14ac:dyDescent="0.2"/>
    <row r="3111" ht="12.75" customHeight="1" x14ac:dyDescent="0.2"/>
    <row r="3112" ht="12.75" customHeight="1" x14ac:dyDescent="0.2"/>
    <row r="3113" ht="12.75" customHeight="1" x14ac:dyDescent="0.2"/>
    <row r="3114" ht="12.75" customHeight="1" x14ac:dyDescent="0.2"/>
    <row r="3115" ht="12.75" customHeight="1" x14ac:dyDescent="0.2"/>
    <row r="3116" ht="12.75" customHeight="1" x14ac:dyDescent="0.2"/>
    <row r="3117" ht="12.75" customHeight="1" x14ac:dyDescent="0.2"/>
    <row r="3118" ht="12.75" customHeight="1" x14ac:dyDescent="0.2"/>
    <row r="3119" ht="12.75" customHeight="1" x14ac:dyDescent="0.2"/>
    <row r="3120" ht="12.75" customHeight="1" x14ac:dyDescent="0.2"/>
    <row r="3121" ht="12.75" customHeight="1" x14ac:dyDescent="0.2"/>
    <row r="3122" ht="12.75" customHeight="1" x14ac:dyDescent="0.2"/>
    <row r="3123" ht="12.75" customHeight="1" x14ac:dyDescent="0.2"/>
    <row r="3124" ht="12.75" customHeight="1" x14ac:dyDescent="0.2"/>
    <row r="3125" ht="12.75" customHeight="1" x14ac:dyDescent="0.2"/>
    <row r="3126" ht="12.75" customHeight="1" x14ac:dyDescent="0.2"/>
    <row r="3127" ht="12.75" customHeight="1" x14ac:dyDescent="0.2"/>
    <row r="3128" ht="12.75" customHeight="1" x14ac:dyDescent="0.2"/>
    <row r="3129" ht="12.75" customHeight="1" x14ac:dyDescent="0.2"/>
    <row r="3130" ht="12.75" customHeight="1" x14ac:dyDescent="0.2"/>
    <row r="3131" ht="12.75" customHeight="1" x14ac:dyDescent="0.2"/>
    <row r="3132" ht="12.75" customHeight="1" x14ac:dyDescent="0.2"/>
    <row r="3133" ht="12.75" customHeight="1" x14ac:dyDescent="0.2"/>
    <row r="3134" ht="12.75" customHeight="1" x14ac:dyDescent="0.2"/>
    <row r="3135" ht="12.75" customHeight="1" x14ac:dyDescent="0.2"/>
    <row r="3136" ht="12.75" customHeight="1" x14ac:dyDescent="0.2"/>
    <row r="3137" ht="12.75" customHeight="1" x14ac:dyDescent="0.2"/>
    <row r="3138" ht="12.75" customHeight="1" x14ac:dyDescent="0.2"/>
    <row r="3139" ht="12.75" customHeight="1" x14ac:dyDescent="0.2"/>
    <row r="3140" ht="12.75" customHeight="1" x14ac:dyDescent="0.2"/>
    <row r="3141" ht="12.75" customHeight="1" x14ac:dyDescent="0.2"/>
    <row r="3142" ht="12.75" customHeight="1" x14ac:dyDescent="0.2"/>
    <row r="3143" ht="12.75" customHeight="1" x14ac:dyDescent="0.2"/>
    <row r="3144" ht="12.75" customHeight="1" x14ac:dyDescent="0.2"/>
    <row r="3145" ht="12.75" customHeight="1" x14ac:dyDescent="0.2"/>
    <row r="3146" ht="12.75" customHeight="1" x14ac:dyDescent="0.2"/>
    <row r="3147" ht="12.75" customHeight="1" x14ac:dyDescent="0.2"/>
    <row r="3148" ht="12.75" customHeight="1" x14ac:dyDescent="0.2"/>
    <row r="3149" ht="12.75" customHeight="1" x14ac:dyDescent="0.2"/>
    <row r="3150" ht="12.75" customHeight="1" x14ac:dyDescent="0.2"/>
    <row r="3151" ht="12.75" customHeight="1" x14ac:dyDescent="0.2"/>
    <row r="3152" ht="12.75" customHeight="1" x14ac:dyDescent="0.2"/>
    <row r="3153" ht="12.75" customHeight="1" x14ac:dyDescent="0.2"/>
    <row r="3154" ht="12.75" customHeight="1" x14ac:dyDescent="0.2"/>
    <row r="3155" ht="12.75" customHeight="1" x14ac:dyDescent="0.2"/>
    <row r="3156" ht="12.75" customHeight="1" x14ac:dyDescent="0.2"/>
    <row r="3157" ht="12.75" customHeight="1" x14ac:dyDescent="0.2"/>
    <row r="3158" ht="12.75" customHeight="1" x14ac:dyDescent="0.2"/>
    <row r="3159" ht="12.75" customHeight="1" x14ac:dyDescent="0.2"/>
    <row r="3160" ht="12.75" customHeight="1" x14ac:dyDescent="0.2"/>
    <row r="3161" ht="12.75" customHeight="1" x14ac:dyDescent="0.2"/>
    <row r="3162" ht="12.75" customHeight="1" x14ac:dyDescent="0.2"/>
    <row r="3163" ht="12.75" customHeight="1" x14ac:dyDescent="0.2"/>
    <row r="3164" ht="12.75" customHeight="1" x14ac:dyDescent="0.2"/>
    <row r="3165" ht="12.75" customHeight="1" x14ac:dyDescent="0.2"/>
    <row r="3166" ht="12.75" customHeight="1" x14ac:dyDescent="0.2"/>
    <row r="3167" ht="12.75" customHeight="1" x14ac:dyDescent="0.2"/>
    <row r="3168" ht="12.75" customHeight="1" x14ac:dyDescent="0.2"/>
    <row r="3169" ht="12.75" customHeight="1" x14ac:dyDescent="0.2"/>
    <row r="3170" ht="12.75" customHeight="1" x14ac:dyDescent="0.2"/>
    <row r="3171" ht="12.75" customHeight="1" x14ac:dyDescent="0.2"/>
    <row r="3172" ht="12.75" customHeight="1" x14ac:dyDescent="0.2"/>
    <row r="3173" ht="12.75" customHeight="1" x14ac:dyDescent="0.2"/>
    <row r="3174" ht="12.75" customHeight="1" x14ac:dyDescent="0.2"/>
    <row r="3175" ht="12.75" customHeight="1" x14ac:dyDescent="0.2"/>
    <row r="3176" ht="12.75" customHeight="1" x14ac:dyDescent="0.2"/>
    <row r="3177" ht="12.75" customHeight="1" x14ac:dyDescent="0.2"/>
    <row r="3178" ht="12.75" customHeight="1" x14ac:dyDescent="0.2"/>
    <row r="3179" ht="12.75" customHeight="1" x14ac:dyDescent="0.2"/>
    <row r="3180" ht="12.75" customHeight="1" x14ac:dyDescent="0.2"/>
    <row r="3181" ht="12.75" customHeight="1" x14ac:dyDescent="0.2"/>
    <row r="3182" ht="12.75" customHeight="1" x14ac:dyDescent="0.2"/>
    <row r="3183" ht="12.75" customHeight="1" x14ac:dyDescent="0.2"/>
    <row r="3184" ht="12.75" customHeight="1" x14ac:dyDescent="0.2"/>
    <row r="3185" ht="12.75" customHeight="1" x14ac:dyDescent="0.2"/>
    <row r="3186" ht="12.75" customHeight="1" x14ac:dyDescent="0.2"/>
    <row r="3187" ht="12.75" customHeight="1" x14ac:dyDescent="0.2"/>
    <row r="3188" ht="12.75" customHeight="1" x14ac:dyDescent="0.2"/>
    <row r="3189" ht="12.75" customHeight="1" x14ac:dyDescent="0.2"/>
    <row r="3190" ht="12.75" customHeight="1" x14ac:dyDescent="0.2"/>
    <row r="3191" ht="12.75" customHeight="1" x14ac:dyDescent="0.2"/>
    <row r="3192" ht="12.75" customHeight="1" x14ac:dyDescent="0.2"/>
    <row r="3193" ht="12.75" customHeight="1" x14ac:dyDescent="0.2"/>
    <row r="3194" ht="12.75" customHeight="1" x14ac:dyDescent="0.2"/>
    <row r="3195" ht="12.75" customHeight="1" x14ac:dyDescent="0.2"/>
    <row r="3196" ht="12.75" customHeight="1" x14ac:dyDescent="0.2"/>
    <row r="3197" ht="12.75" customHeight="1" x14ac:dyDescent="0.2"/>
    <row r="3198" ht="12.75" customHeight="1" x14ac:dyDescent="0.2"/>
    <row r="3199" ht="12.75" customHeight="1" x14ac:dyDescent="0.2"/>
    <row r="3200" ht="12.75" customHeight="1" x14ac:dyDescent="0.2"/>
    <row r="3201" ht="12.75" customHeight="1" x14ac:dyDescent="0.2"/>
    <row r="3202" ht="12.75" customHeight="1" x14ac:dyDescent="0.2"/>
    <row r="3203" ht="12.75" customHeight="1" x14ac:dyDescent="0.2"/>
    <row r="3204" ht="12.75" customHeight="1" x14ac:dyDescent="0.2"/>
    <row r="3205" ht="12.75" customHeight="1" x14ac:dyDescent="0.2"/>
    <row r="3206" ht="12.75" customHeight="1" x14ac:dyDescent="0.2"/>
    <row r="3207" ht="12.75" customHeight="1" x14ac:dyDescent="0.2"/>
    <row r="3208" ht="12.75" customHeight="1" x14ac:dyDescent="0.2"/>
    <row r="3209" ht="12.75" customHeight="1" x14ac:dyDescent="0.2"/>
    <row r="3210" ht="12.75" customHeight="1" x14ac:dyDescent="0.2"/>
    <row r="3211" ht="12.75" customHeight="1" x14ac:dyDescent="0.2"/>
    <row r="3212" ht="12.75" customHeight="1" x14ac:dyDescent="0.2"/>
    <row r="3213" ht="12.75" customHeight="1" x14ac:dyDescent="0.2"/>
    <row r="3214" ht="12.75" customHeight="1" x14ac:dyDescent="0.2"/>
    <row r="3215" ht="12.75" customHeight="1" x14ac:dyDescent="0.2"/>
    <row r="3216" ht="12.75" customHeight="1" x14ac:dyDescent="0.2"/>
    <row r="3217" ht="12.75" customHeight="1" x14ac:dyDescent="0.2"/>
    <row r="3218" ht="12.75" customHeight="1" x14ac:dyDescent="0.2"/>
    <row r="3219" ht="12.75" customHeight="1" x14ac:dyDescent="0.2"/>
    <row r="3220" ht="12.75" customHeight="1" x14ac:dyDescent="0.2"/>
    <row r="3221" ht="12.75" customHeight="1" x14ac:dyDescent="0.2"/>
    <row r="3222" ht="12.75" customHeight="1" x14ac:dyDescent="0.2"/>
    <row r="3223" ht="12.75" customHeight="1" x14ac:dyDescent="0.2"/>
    <row r="3224" ht="12.75" customHeight="1" x14ac:dyDescent="0.2"/>
    <row r="3225" ht="12.75" customHeight="1" x14ac:dyDescent="0.2"/>
    <row r="3226" ht="12.75" customHeight="1" x14ac:dyDescent="0.2"/>
    <row r="3227" ht="12.75" customHeight="1" x14ac:dyDescent="0.2"/>
    <row r="3228" ht="12.75" customHeight="1" x14ac:dyDescent="0.2"/>
    <row r="3229" ht="12.75" customHeight="1" x14ac:dyDescent="0.2"/>
    <row r="3230" ht="12.75" customHeight="1" x14ac:dyDescent="0.2"/>
    <row r="3231" ht="12.75" customHeight="1" x14ac:dyDescent="0.2"/>
    <row r="3232" ht="12.75" customHeight="1" x14ac:dyDescent="0.2"/>
    <row r="3233" ht="12.75" customHeight="1" x14ac:dyDescent="0.2"/>
    <row r="3234" ht="12.75" customHeight="1" x14ac:dyDescent="0.2"/>
    <row r="3235" ht="12.75" customHeight="1" x14ac:dyDescent="0.2"/>
    <row r="3236" ht="12.75" customHeight="1" x14ac:dyDescent="0.2"/>
    <row r="3237" ht="12.75" customHeight="1" x14ac:dyDescent="0.2"/>
    <row r="3238" ht="12.75" customHeight="1" x14ac:dyDescent="0.2"/>
    <row r="3239" ht="12.75" customHeight="1" x14ac:dyDescent="0.2"/>
    <row r="3240" ht="12.75" customHeight="1" x14ac:dyDescent="0.2"/>
    <row r="3241" ht="12.75" customHeight="1" x14ac:dyDescent="0.2"/>
    <row r="3242" ht="12.75" customHeight="1" x14ac:dyDescent="0.2"/>
    <row r="3243" ht="12.75" customHeight="1" x14ac:dyDescent="0.2"/>
    <row r="3244" ht="12.75" customHeight="1" x14ac:dyDescent="0.2"/>
    <row r="3245" ht="12.75" customHeight="1" x14ac:dyDescent="0.2"/>
    <row r="3246" ht="12.75" customHeight="1" x14ac:dyDescent="0.2"/>
    <row r="3247" ht="12.75" customHeight="1" x14ac:dyDescent="0.2"/>
    <row r="3248" ht="12.75" customHeight="1" x14ac:dyDescent="0.2"/>
    <row r="3249" ht="12.75" customHeight="1" x14ac:dyDescent="0.2"/>
    <row r="3250" ht="12.75" customHeight="1" x14ac:dyDescent="0.2"/>
    <row r="3251" ht="12.75" customHeight="1" x14ac:dyDescent="0.2"/>
    <row r="3252" ht="12.75" customHeight="1" x14ac:dyDescent="0.2"/>
    <row r="3253" ht="12.75" customHeight="1" x14ac:dyDescent="0.2"/>
    <row r="3254" ht="12.75" customHeight="1" x14ac:dyDescent="0.2"/>
    <row r="3255" ht="12.75" customHeight="1" x14ac:dyDescent="0.2"/>
    <row r="3256" ht="12.75" customHeight="1" x14ac:dyDescent="0.2"/>
    <row r="3257" ht="12.75" customHeight="1" x14ac:dyDescent="0.2"/>
    <row r="3258" ht="12.75" customHeight="1" x14ac:dyDescent="0.2"/>
    <row r="3259" ht="12.75" customHeight="1" x14ac:dyDescent="0.2"/>
    <row r="3260" ht="12.75" customHeight="1" x14ac:dyDescent="0.2"/>
    <row r="3261" ht="12.75" customHeight="1" x14ac:dyDescent="0.2"/>
    <row r="3262" ht="12.75" customHeight="1" x14ac:dyDescent="0.2"/>
    <row r="3263" ht="12.75" customHeight="1" x14ac:dyDescent="0.2"/>
    <row r="3264" ht="12.75" customHeight="1" x14ac:dyDescent="0.2"/>
    <row r="3265" ht="12.75" customHeight="1" x14ac:dyDescent="0.2"/>
    <row r="3266" ht="12.75" customHeight="1" x14ac:dyDescent="0.2"/>
    <row r="3267" ht="12.75" customHeight="1" x14ac:dyDescent="0.2"/>
    <row r="3268" ht="12.75" customHeight="1" x14ac:dyDescent="0.2"/>
    <row r="3269" ht="12.75" customHeight="1" x14ac:dyDescent="0.2"/>
    <row r="3270" ht="12.75" customHeight="1" x14ac:dyDescent="0.2"/>
    <row r="3271" ht="12.75" customHeight="1" x14ac:dyDescent="0.2"/>
    <row r="3272" ht="12.75" customHeight="1" x14ac:dyDescent="0.2"/>
    <row r="3273" ht="12.75" customHeight="1" x14ac:dyDescent="0.2"/>
    <row r="3274" ht="12.75" customHeight="1" x14ac:dyDescent="0.2"/>
    <row r="3275" ht="12.75" customHeight="1" x14ac:dyDescent="0.2"/>
    <row r="3276" ht="12.75" customHeight="1" x14ac:dyDescent="0.2"/>
    <row r="3277" ht="12.75" customHeight="1" x14ac:dyDescent="0.2"/>
    <row r="3278" ht="12.75" customHeight="1" x14ac:dyDescent="0.2"/>
    <row r="3279" ht="12.75" customHeight="1" x14ac:dyDescent="0.2"/>
    <row r="3280" ht="12.75" customHeight="1" x14ac:dyDescent="0.2"/>
    <row r="3281" ht="12.75" customHeight="1" x14ac:dyDescent="0.2"/>
    <row r="3282" ht="12.75" customHeight="1" x14ac:dyDescent="0.2"/>
    <row r="3283" ht="12.75" customHeight="1" x14ac:dyDescent="0.2"/>
    <row r="3284" ht="12.75" customHeight="1" x14ac:dyDescent="0.2"/>
    <row r="3285" ht="12.75" customHeight="1" x14ac:dyDescent="0.2"/>
    <row r="3286" ht="12.75" customHeight="1" x14ac:dyDescent="0.2"/>
    <row r="3287" ht="12.75" customHeight="1" x14ac:dyDescent="0.2"/>
    <row r="3288" ht="12.75" customHeight="1" x14ac:dyDescent="0.2"/>
    <row r="3289" ht="12.75" customHeight="1" x14ac:dyDescent="0.2"/>
    <row r="3290" ht="12.75" customHeight="1" x14ac:dyDescent="0.2"/>
    <row r="3291" ht="12.75" customHeight="1" x14ac:dyDescent="0.2"/>
    <row r="3292" ht="12.75" customHeight="1" x14ac:dyDescent="0.2"/>
    <row r="3293" ht="12.75" customHeight="1" x14ac:dyDescent="0.2"/>
    <row r="3294" ht="12.75" customHeight="1" x14ac:dyDescent="0.2"/>
    <row r="3295" ht="12.75" customHeight="1" x14ac:dyDescent="0.2"/>
    <row r="3296" ht="12.75" customHeight="1" x14ac:dyDescent="0.2"/>
    <row r="3297" ht="12.75" customHeight="1" x14ac:dyDescent="0.2"/>
    <row r="3298" ht="12.75" customHeight="1" x14ac:dyDescent="0.2"/>
    <row r="3299" ht="12.75" customHeight="1" x14ac:dyDescent="0.2"/>
    <row r="3300" ht="12.75" customHeight="1" x14ac:dyDescent="0.2"/>
    <row r="3301" ht="12.75" customHeight="1" x14ac:dyDescent="0.2"/>
    <row r="3302" ht="12.75" customHeight="1" x14ac:dyDescent="0.2"/>
    <row r="3303" ht="12.75" customHeight="1" x14ac:dyDescent="0.2"/>
    <row r="3304" ht="12.75" customHeight="1" x14ac:dyDescent="0.2"/>
    <row r="3305" ht="12.75" customHeight="1" x14ac:dyDescent="0.2"/>
    <row r="3306" ht="12.75" customHeight="1" x14ac:dyDescent="0.2"/>
    <row r="3307" ht="12.75" customHeight="1" x14ac:dyDescent="0.2"/>
    <row r="3308" ht="12.75" customHeight="1" x14ac:dyDescent="0.2"/>
    <row r="3309" ht="12.75" customHeight="1" x14ac:dyDescent="0.2"/>
    <row r="3310" ht="12.75" customHeight="1" x14ac:dyDescent="0.2"/>
    <row r="3311" ht="12.75" customHeight="1" x14ac:dyDescent="0.2"/>
    <row r="3312" ht="12.75" customHeight="1" x14ac:dyDescent="0.2"/>
    <row r="3313" ht="12.75" customHeight="1" x14ac:dyDescent="0.2"/>
    <row r="3314" ht="12.75" customHeight="1" x14ac:dyDescent="0.2"/>
    <row r="3315" ht="12.75" customHeight="1" x14ac:dyDescent="0.2"/>
    <row r="3316" ht="12.75" customHeight="1" x14ac:dyDescent="0.2"/>
    <row r="3317" ht="12.75" customHeight="1" x14ac:dyDescent="0.2"/>
    <row r="3318" ht="12.75" customHeight="1" x14ac:dyDescent="0.2"/>
    <row r="3319" ht="12.75" customHeight="1" x14ac:dyDescent="0.2"/>
    <row r="3320" ht="12.75" customHeight="1" x14ac:dyDescent="0.2"/>
    <row r="3321" ht="12.75" customHeight="1" x14ac:dyDescent="0.2"/>
    <row r="3322" ht="12.75" customHeight="1" x14ac:dyDescent="0.2"/>
    <row r="3323" ht="12.75" customHeight="1" x14ac:dyDescent="0.2"/>
    <row r="3324" ht="12.75" customHeight="1" x14ac:dyDescent="0.2"/>
    <row r="3325" ht="12.75" customHeight="1" x14ac:dyDescent="0.2"/>
    <row r="3326" ht="12.75" customHeight="1" x14ac:dyDescent="0.2"/>
    <row r="3327" ht="12.75" customHeight="1" x14ac:dyDescent="0.2"/>
    <row r="3328" ht="12.75" customHeight="1" x14ac:dyDescent="0.2"/>
    <row r="3329" ht="12.75" customHeight="1" x14ac:dyDescent="0.2"/>
    <row r="3330" ht="12.75" customHeight="1" x14ac:dyDescent="0.2"/>
    <row r="3331" ht="12.75" customHeight="1" x14ac:dyDescent="0.2"/>
    <row r="3332" ht="12.75" customHeight="1" x14ac:dyDescent="0.2"/>
    <row r="3333" ht="12.75" customHeight="1" x14ac:dyDescent="0.2"/>
    <row r="3334" ht="12.75" customHeight="1" x14ac:dyDescent="0.2"/>
    <row r="3335" ht="12.75" customHeight="1" x14ac:dyDescent="0.2"/>
    <row r="3336" ht="12.75" customHeight="1" x14ac:dyDescent="0.2"/>
    <row r="3337" ht="12.75" customHeight="1" x14ac:dyDescent="0.2"/>
    <row r="3338" ht="12.75" customHeight="1" x14ac:dyDescent="0.2"/>
    <row r="3339" ht="12.75" customHeight="1" x14ac:dyDescent="0.2"/>
    <row r="3340" ht="12.75" customHeight="1" x14ac:dyDescent="0.2"/>
    <row r="3341" ht="12.75" customHeight="1" x14ac:dyDescent="0.2"/>
    <row r="3342" ht="12.75" customHeight="1" x14ac:dyDescent="0.2"/>
    <row r="3343" ht="12.75" customHeight="1" x14ac:dyDescent="0.2"/>
    <row r="3344" ht="12.75" customHeight="1" x14ac:dyDescent="0.2"/>
    <row r="3345" ht="12.75" customHeight="1" x14ac:dyDescent="0.2"/>
    <row r="3346" ht="12.75" customHeight="1" x14ac:dyDescent="0.2"/>
    <row r="3347" ht="12.75" customHeight="1" x14ac:dyDescent="0.2"/>
    <row r="3348" ht="12.75" customHeight="1" x14ac:dyDescent="0.2"/>
    <row r="3349" ht="12.75" customHeight="1" x14ac:dyDescent="0.2"/>
    <row r="3350" ht="12.75" customHeight="1" x14ac:dyDescent="0.2"/>
    <row r="3351" ht="12.75" customHeight="1" x14ac:dyDescent="0.2"/>
    <row r="3352" ht="12.75" customHeight="1" x14ac:dyDescent="0.2"/>
    <row r="3353" ht="12.75" customHeight="1" x14ac:dyDescent="0.2"/>
    <row r="3354" ht="12.75" customHeight="1" x14ac:dyDescent="0.2"/>
    <row r="3355" ht="12.75" customHeight="1" x14ac:dyDescent="0.2"/>
    <row r="3356" ht="12.75" customHeight="1" x14ac:dyDescent="0.2"/>
    <row r="3357" ht="12.75" customHeight="1" x14ac:dyDescent="0.2"/>
    <row r="3358" ht="12.75" customHeight="1" x14ac:dyDescent="0.2"/>
    <row r="3359" ht="12.75" customHeight="1" x14ac:dyDescent="0.2"/>
    <row r="3360" ht="12.75" customHeight="1" x14ac:dyDescent="0.2"/>
    <row r="3361" ht="12.75" customHeight="1" x14ac:dyDescent="0.2"/>
    <row r="3362" ht="12.75" customHeight="1" x14ac:dyDescent="0.2"/>
    <row r="3363" ht="12.75" customHeight="1" x14ac:dyDescent="0.2"/>
    <row r="3364" ht="12.75" customHeight="1" x14ac:dyDescent="0.2"/>
    <row r="3365" ht="12.75" customHeight="1" x14ac:dyDescent="0.2"/>
    <row r="3366" ht="12.75" customHeight="1" x14ac:dyDescent="0.2"/>
    <row r="3367" ht="12.75" customHeight="1" x14ac:dyDescent="0.2"/>
    <row r="3368" ht="12.75" customHeight="1" x14ac:dyDescent="0.2"/>
    <row r="3369" ht="12.75" customHeight="1" x14ac:dyDescent="0.2"/>
    <row r="3370" ht="12.75" customHeight="1" x14ac:dyDescent="0.2"/>
    <row r="3371" ht="12.75" customHeight="1" x14ac:dyDescent="0.2"/>
    <row r="3372" ht="12.75" customHeight="1" x14ac:dyDescent="0.2"/>
    <row r="3373" ht="12.75" customHeight="1" x14ac:dyDescent="0.2"/>
    <row r="3374" ht="12.75" customHeight="1" x14ac:dyDescent="0.2"/>
    <row r="3375" ht="12.75" customHeight="1" x14ac:dyDescent="0.2"/>
    <row r="3376" ht="12.75" customHeight="1" x14ac:dyDescent="0.2"/>
    <row r="3377" ht="12.75" customHeight="1" x14ac:dyDescent="0.2"/>
    <row r="3378" ht="12.75" customHeight="1" x14ac:dyDescent="0.2"/>
    <row r="3379" ht="12.75" customHeight="1" x14ac:dyDescent="0.2"/>
    <row r="3380" ht="12.75" customHeight="1" x14ac:dyDescent="0.2"/>
    <row r="3381" ht="12.75" customHeight="1" x14ac:dyDescent="0.2"/>
    <row r="3382" ht="12.75" customHeight="1" x14ac:dyDescent="0.2"/>
    <row r="3383" ht="12.75" customHeight="1" x14ac:dyDescent="0.2"/>
    <row r="3384" ht="12.75" customHeight="1" x14ac:dyDescent="0.2"/>
    <row r="3385" ht="12.75" customHeight="1" x14ac:dyDescent="0.2"/>
    <row r="3386" ht="12.75" customHeight="1" x14ac:dyDescent="0.2"/>
    <row r="3387" ht="12.75" customHeight="1" x14ac:dyDescent="0.2"/>
    <row r="3388" ht="12.75" customHeight="1" x14ac:dyDescent="0.2"/>
    <row r="3389" ht="12.75" customHeight="1" x14ac:dyDescent="0.2"/>
    <row r="3390" ht="12.75" customHeight="1" x14ac:dyDescent="0.2"/>
    <row r="3391" ht="12.75" customHeight="1" x14ac:dyDescent="0.2"/>
    <row r="3392" ht="12.75" customHeight="1" x14ac:dyDescent="0.2"/>
    <row r="3393" ht="12.75" customHeight="1" x14ac:dyDescent="0.2"/>
    <row r="3394" ht="12.75" customHeight="1" x14ac:dyDescent="0.2"/>
    <row r="3395" ht="12.75" customHeight="1" x14ac:dyDescent="0.2"/>
    <row r="3396" ht="12.75" customHeight="1" x14ac:dyDescent="0.2"/>
    <row r="3397" ht="12.75" customHeight="1" x14ac:dyDescent="0.2"/>
    <row r="3398" ht="12.75" customHeight="1" x14ac:dyDescent="0.2"/>
    <row r="3399" ht="12.75" customHeight="1" x14ac:dyDescent="0.2"/>
    <row r="3400" ht="12.75" customHeight="1" x14ac:dyDescent="0.2"/>
    <row r="3401" ht="12.75" customHeight="1" x14ac:dyDescent="0.2"/>
    <row r="3402" ht="12.75" customHeight="1" x14ac:dyDescent="0.2"/>
    <row r="3403" ht="12.75" customHeight="1" x14ac:dyDescent="0.2"/>
    <row r="3404" ht="12.75" customHeight="1" x14ac:dyDescent="0.2"/>
    <row r="3405" ht="12.75" customHeight="1" x14ac:dyDescent="0.2"/>
    <row r="3406" ht="12.75" customHeight="1" x14ac:dyDescent="0.2"/>
    <row r="3407" ht="12.75" customHeight="1" x14ac:dyDescent="0.2"/>
    <row r="3408" ht="12.75" customHeight="1" x14ac:dyDescent="0.2"/>
    <row r="3409" ht="12.75" customHeight="1" x14ac:dyDescent="0.2"/>
    <row r="3410" ht="12.75" customHeight="1" x14ac:dyDescent="0.2"/>
    <row r="3411" ht="12.75" customHeight="1" x14ac:dyDescent="0.2"/>
    <row r="3412" ht="12.75" customHeight="1" x14ac:dyDescent="0.2"/>
    <row r="3413" ht="12.75" customHeight="1" x14ac:dyDescent="0.2"/>
    <row r="3414" ht="12.75" customHeight="1" x14ac:dyDescent="0.2"/>
    <row r="3415" ht="12.75" customHeight="1" x14ac:dyDescent="0.2"/>
    <row r="3416" ht="12.75" customHeight="1" x14ac:dyDescent="0.2"/>
    <row r="3417" ht="12.75" customHeight="1" x14ac:dyDescent="0.2"/>
    <row r="3418" ht="12.75" customHeight="1" x14ac:dyDescent="0.2"/>
    <row r="3419" ht="12.75" customHeight="1" x14ac:dyDescent="0.2"/>
    <row r="3420" ht="12.75" customHeight="1" x14ac:dyDescent="0.2"/>
    <row r="3421" ht="12.75" customHeight="1" x14ac:dyDescent="0.2"/>
    <row r="3422" ht="12.75" customHeight="1" x14ac:dyDescent="0.2"/>
    <row r="3423" ht="12.75" customHeight="1" x14ac:dyDescent="0.2"/>
    <row r="3424" ht="12.75" customHeight="1" x14ac:dyDescent="0.2"/>
    <row r="3425" ht="12.75" customHeight="1" x14ac:dyDescent="0.2"/>
    <row r="3426" ht="12.75" customHeight="1" x14ac:dyDescent="0.2"/>
    <row r="3427" ht="12.75" customHeight="1" x14ac:dyDescent="0.2"/>
    <row r="3428" ht="12.75" customHeight="1" x14ac:dyDescent="0.2"/>
    <row r="3429" ht="12.75" customHeight="1" x14ac:dyDescent="0.2"/>
    <row r="3430" ht="12.75" customHeight="1" x14ac:dyDescent="0.2"/>
    <row r="3431" ht="12.75" customHeight="1" x14ac:dyDescent="0.2"/>
    <row r="3432" ht="12.75" customHeight="1" x14ac:dyDescent="0.2"/>
    <row r="3433" ht="12.75" customHeight="1" x14ac:dyDescent="0.2"/>
    <row r="3434" ht="12.75" customHeight="1" x14ac:dyDescent="0.2"/>
    <row r="3435" ht="12.75" customHeight="1" x14ac:dyDescent="0.2"/>
    <row r="3436" ht="12.75" customHeight="1" x14ac:dyDescent="0.2"/>
    <row r="3437" ht="12.75" customHeight="1" x14ac:dyDescent="0.2"/>
    <row r="3438" ht="12.75" customHeight="1" x14ac:dyDescent="0.2"/>
    <row r="3439" ht="12.75" customHeight="1" x14ac:dyDescent="0.2"/>
    <row r="3440" ht="12.75" customHeight="1" x14ac:dyDescent="0.2"/>
    <row r="3441" ht="12.75" customHeight="1" x14ac:dyDescent="0.2"/>
    <row r="3442" ht="12.75" customHeight="1" x14ac:dyDescent="0.2"/>
    <row r="3443" ht="12.75" customHeight="1" x14ac:dyDescent="0.2"/>
    <row r="3444" ht="12.75" customHeight="1" x14ac:dyDescent="0.2"/>
    <row r="3445" ht="12.75" customHeight="1" x14ac:dyDescent="0.2"/>
    <row r="3446" ht="12.75" customHeight="1" x14ac:dyDescent="0.2"/>
    <row r="3447" ht="12.75" customHeight="1" x14ac:dyDescent="0.2"/>
    <row r="3448" ht="12.75" customHeight="1" x14ac:dyDescent="0.2"/>
    <row r="3449" ht="12.75" customHeight="1" x14ac:dyDescent="0.2"/>
    <row r="3450" ht="12.75" customHeight="1" x14ac:dyDescent="0.2"/>
    <row r="3451" ht="12.75" customHeight="1" x14ac:dyDescent="0.2"/>
    <row r="3452" ht="12.75" customHeight="1" x14ac:dyDescent="0.2"/>
    <row r="3453" ht="12.75" customHeight="1" x14ac:dyDescent="0.2"/>
    <row r="3454" ht="12.75" customHeight="1" x14ac:dyDescent="0.2"/>
    <row r="3455" ht="12.75" customHeight="1" x14ac:dyDescent="0.2"/>
    <row r="3456" ht="12.75" customHeight="1" x14ac:dyDescent="0.2"/>
    <row r="3457" ht="12.75" customHeight="1" x14ac:dyDescent="0.2"/>
    <row r="3458" ht="12.75" customHeight="1" x14ac:dyDescent="0.2"/>
    <row r="3459" ht="12.75" customHeight="1" x14ac:dyDescent="0.2"/>
    <row r="3460" ht="12.75" customHeight="1" x14ac:dyDescent="0.2"/>
    <row r="3461" ht="12.75" customHeight="1" x14ac:dyDescent="0.2"/>
    <row r="3462" ht="12.75" customHeight="1" x14ac:dyDescent="0.2"/>
    <row r="3463" ht="12.75" customHeight="1" x14ac:dyDescent="0.2"/>
    <row r="3464" ht="12.75" customHeight="1" x14ac:dyDescent="0.2"/>
    <row r="3465" ht="12.75" customHeight="1" x14ac:dyDescent="0.2"/>
    <row r="3466" ht="12.75" customHeight="1" x14ac:dyDescent="0.2"/>
    <row r="3467" ht="12.75" customHeight="1" x14ac:dyDescent="0.2"/>
    <row r="3468" ht="12.75" customHeight="1" x14ac:dyDescent="0.2"/>
    <row r="3469" ht="12.75" customHeight="1" x14ac:dyDescent="0.2"/>
    <row r="3470" ht="12.75" customHeight="1" x14ac:dyDescent="0.2"/>
    <row r="3471" ht="12.75" customHeight="1" x14ac:dyDescent="0.2"/>
    <row r="3472" ht="12.75" customHeight="1" x14ac:dyDescent="0.2"/>
    <row r="3473" ht="12.75" customHeight="1" x14ac:dyDescent="0.2"/>
    <row r="3474" ht="12.75" customHeight="1" x14ac:dyDescent="0.2"/>
    <row r="3475" ht="12.75" customHeight="1" x14ac:dyDescent="0.2"/>
    <row r="3476" ht="12.75" customHeight="1" x14ac:dyDescent="0.2"/>
    <row r="3477" ht="12.75" customHeight="1" x14ac:dyDescent="0.2"/>
    <row r="3478" ht="12.75" customHeight="1" x14ac:dyDescent="0.2"/>
    <row r="3479" ht="12.75" customHeight="1" x14ac:dyDescent="0.2"/>
    <row r="3480" ht="12.75" customHeight="1" x14ac:dyDescent="0.2"/>
    <row r="3481" ht="12.75" customHeight="1" x14ac:dyDescent="0.2"/>
    <row r="3482" ht="12.75" customHeight="1" x14ac:dyDescent="0.2"/>
    <row r="3483" ht="12.75" customHeight="1" x14ac:dyDescent="0.2"/>
    <row r="3484" ht="12.75" customHeight="1" x14ac:dyDescent="0.2"/>
    <row r="3485" ht="12.75" customHeight="1" x14ac:dyDescent="0.2"/>
    <row r="3486" ht="12.75" customHeight="1" x14ac:dyDescent="0.2"/>
    <row r="3487" ht="12.75" customHeight="1" x14ac:dyDescent="0.2"/>
    <row r="3488" ht="12.75" customHeight="1" x14ac:dyDescent="0.2"/>
    <row r="3489" ht="12.75" customHeight="1" x14ac:dyDescent="0.2"/>
    <row r="3490" ht="12.75" customHeight="1" x14ac:dyDescent="0.2"/>
    <row r="3491" ht="12.75" customHeight="1" x14ac:dyDescent="0.2"/>
    <row r="3492" ht="12.75" customHeight="1" x14ac:dyDescent="0.2"/>
    <row r="3493" ht="12.75" customHeight="1" x14ac:dyDescent="0.2"/>
    <row r="3494" ht="12.75" customHeight="1" x14ac:dyDescent="0.2"/>
    <row r="3495" ht="12.75" customHeight="1" x14ac:dyDescent="0.2"/>
    <row r="3496" ht="12.75" customHeight="1" x14ac:dyDescent="0.2"/>
    <row r="3497" ht="12.75" customHeight="1" x14ac:dyDescent="0.2"/>
    <row r="3498" ht="12.75" customHeight="1" x14ac:dyDescent="0.2"/>
    <row r="3499" ht="12.75" customHeight="1" x14ac:dyDescent="0.2"/>
    <row r="3500" ht="12.75" customHeight="1" x14ac:dyDescent="0.2"/>
    <row r="3501" ht="12.75" customHeight="1" x14ac:dyDescent="0.2"/>
    <row r="3502" ht="12.75" customHeight="1" x14ac:dyDescent="0.2"/>
    <row r="3503" ht="12.75" customHeight="1" x14ac:dyDescent="0.2"/>
    <row r="3504" ht="12.75" customHeight="1" x14ac:dyDescent="0.2"/>
    <row r="3505" ht="12.75" customHeight="1" x14ac:dyDescent="0.2"/>
    <row r="3506" ht="12.75" customHeight="1" x14ac:dyDescent="0.2"/>
    <row r="3507" ht="12.75" customHeight="1" x14ac:dyDescent="0.2"/>
    <row r="3508" ht="12.75" customHeight="1" x14ac:dyDescent="0.2"/>
    <row r="3509" ht="12.75" customHeight="1" x14ac:dyDescent="0.2"/>
    <row r="3510" ht="12.75" customHeight="1" x14ac:dyDescent="0.2"/>
    <row r="3511" ht="12.75" customHeight="1" x14ac:dyDescent="0.2"/>
    <row r="3512" ht="12.75" customHeight="1" x14ac:dyDescent="0.2"/>
    <row r="3513" ht="12.75" customHeight="1" x14ac:dyDescent="0.2"/>
    <row r="3514" ht="12.75" customHeight="1" x14ac:dyDescent="0.2"/>
    <row r="3515" ht="12.75" customHeight="1" x14ac:dyDescent="0.2"/>
    <row r="3516" ht="12.75" customHeight="1" x14ac:dyDescent="0.2"/>
    <row r="3517" ht="12.75" customHeight="1" x14ac:dyDescent="0.2"/>
    <row r="3518" ht="12.75" customHeight="1" x14ac:dyDescent="0.2"/>
    <row r="3519" ht="12.75" customHeight="1" x14ac:dyDescent="0.2"/>
    <row r="3520" ht="12.75" customHeight="1" x14ac:dyDescent="0.2"/>
    <row r="3521" ht="12.75" customHeight="1" x14ac:dyDescent="0.2"/>
    <row r="3522" ht="12.75" customHeight="1" x14ac:dyDescent="0.2"/>
    <row r="3523" ht="12.75" customHeight="1" x14ac:dyDescent="0.2"/>
    <row r="3524" ht="12.75" customHeight="1" x14ac:dyDescent="0.2"/>
    <row r="3525" ht="12.75" customHeight="1" x14ac:dyDescent="0.2"/>
    <row r="3526" ht="12.75" customHeight="1" x14ac:dyDescent="0.2"/>
    <row r="3527" ht="12.75" customHeight="1" x14ac:dyDescent="0.2"/>
    <row r="3528" ht="12.75" customHeight="1" x14ac:dyDescent="0.2"/>
    <row r="3529" ht="12.75" customHeight="1" x14ac:dyDescent="0.2"/>
    <row r="3530" ht="12.75" customHeight="1" x14ac:dyDescent="0.2"/>
    <row r="3531" ht="12.75" customHeight="1" x14ac:dyDescent="0.2"/>
    <row r="3532" ht="12.75" customHeight="1" x14ac:dyDescent="0.2"/>
    <row r="3533" ht="12.75" customHeight="1" x14ac:dyDescent="0.2"/>
    <row r="3534" ht="12.75" customHeight="1" x14ac:dyDescent="0.2"/>
    <row r="3535" ht="12.75" customHeight="1" x14ac:dyDescent="0.2"/>
    <row r="3536" ht="12.75" customHeight="1" x14ac:dyDescent="0.2"/>
    <row r="3537" ht="12.75" customHeight="1" x14ac:dyDescent="0.2"/>
    <row r="3538" ht="12.75" customHeight="1" x14ac:dyDescent="0.2"/>
    <row r="3539" ht="12.75" customHeight="1" x14ac:dyDescent="0.2"/>
    <row r="3540" ht="12.75" customHeight="1" x14ac:dyDescent="0.2"/>
    <row r="3541" ht="12.75" customHeight="1" x14ac:dyDescent="0.2"/>
    <row r="3542" ht="12.75" customHeight="1" x14ac:dyDescent="0.2"/>
    <row r="3543" ht="12.75" customHeight="1" x14ac:dyDescent="0.2"/>
    <row r="3544" ht="12.75" customHeight="1" x14ac:dyDescent="0.2"/>
    <row r="3545" ht="12.75" customHeight="1" x14ac:dyDescent="0.2"/>
    <row r="3546" ht="12.75" customHeight="1" x14ac:dyDescent="0.2"/>
    <row r="3547" ht="12.75" customHeight="1" x14ac:dyDescent="0.2"/>
    <row r="3548" ht="12.75" customHeight="1" x14ac:dyDescent="0.2"/>
    <row r="3549" ht="12.75" customHeight="1" x14ac:dyDescent="0.2"/>
    <row r="3550" ht="12.75" customHeight="1" x14ac:dyDescent="0.2"/>
    <row r="3551" ht="12.75" customHeight="1" x14ac:dyDescent="0.2"/>
    <row r="3552" ht="12.75" customHeight="1" x14ac:dyDescent="0.2"/>
    <row r="3553" ht="12.75" customHeight="1" x14ac:dyDescent="0.2"/>
    <row r="3554" ht="12.75" customHeight="1" x14ac:dyDescent="0.2"/>
    <row r="3555" ht="12.75" customHeight="1" x14ac:dyDescent="0.2"/>
    <row r="3556" ht="12.75" customHeight="1" x14ac:dyDescent="0.2"/>
    <row r="3557" ht="12.75" customHeight="1" x14ac:dyDescent="0.2"/>
    <row r="3558" ht="12.75" customHeight="1" x14ac:dyDescent="0.2"/>
    <row r="3559" ht="12.75" customHeight="1" x14ac:dyDescent="0.2"/>
    <row r="3560" ht="12.75" customHeight="1" x14ac:dyDescent="0.2"/>
    <row r="3561" ht="12.75" customHeight="1" x14ac:dyDescent="0.2"/>
    <row r="3562" ht="12.75" customHeight="1" x14ac:dyDescent="0.2"/>
    <row r="3563" ht="12.75" customHeight="1" x14ac:dyDescent="0.2"/>
    <row r="3564" ht="12.75" customHeight="1" x14ac:dyDescent="0.2"/>
    <row r="3565" ht="12.75" customHeight="1" x14ac:dyDescent="0.2"/>
    <row r="3566" ht="12.75" customHeight="1" x14ac:dyDescent="0.2"/>
    <row r="3567" ht="12.75" customHeight="1" x14ac:dyDescent="0.2"/>
    <row r="3568" ht="12.75" customHeight="1" x14ac:dyDescent="0.2"/>
    <row r="3569" ht="12.75" customHeight="1" x14ac:dyDescent="0.2"/>
    <row r="3570" ht="12.75" customHeight="1" x14ac:dyDescent="0.2"/>
    <row r="3571" ht="12.75" customHeight="1" x14ac:dyDescent="0.2"/>
    <row r="3572" ht="12.75" customHeight="1" x14ac:dyDescent="0.2"/>
    <row r="3573" ht="12.75" customHeight="1" x14ac:dyDescent="0.2"/>
    <row r="3574" ht="12.75" customHeight="1" x14ac:dyDescent="0.2"/>
    <row r="3575" ht="12.75" customHeight="1" x14ac:dyDescent="0.2"/>
    <row r="3576" ht="12.75" customHeight="1" x14ac:dyDescent="0.2"/>
    <row r="3577" ht="12.75" customHeight="1" x14ac:dyDescent="0.2"/>
    <row r="3578" ht="12.75" customHeight="1" x14ac:dyDescent="0.2"/>
    <row r="3579" ht="12.75" customHeight="1" x14ac:dyDescent="0.2"/>
    <row r="3580" ht="12.75" customHeight="1" x14ac:dyDescent="0.2"/>
    <row r="3581" ht="12.75" customHeight="1" x14ac:dyDescent="0.2"/>
    <row r="3582" ht="12.75" customHeight="1" x14ac:dyDescent="0.2"/>
    <row r="3583" ht="12.75" customHeight="1" x14ac:dyDescent="0.2"/>
    <row r="3584" ht="12.75" customHeight="1" x14ac:dyDescent="0.2"/>
    <row r="3585" ht="12.75" customHeight="1" x14ac:dyDescent="0.2"/>
    <row r="3586" ht="12.75" customHeight="1" x14ac:dyDescent="0.2"/>
    <row r="3587" ht="12.75" customHeight="1" x14ac:dyDescent="0.2"/>
    <row r="3588" ht="12.75" customHeight="1" x14ac:dyDescent="0.2"/>
    <row r="3589" ht="12.75" customHeight="1" x14ac:dyDescent="0.2"/>
    <row r="3590" ht="12.75" customHeight="1" x14ac:dyDescent="0.2"/>
    <row r="3591" ht="12.75" customHeight="1" x14ac:dyDescent="0.2"/>
    <row r="3592" ht="12.75" customHeight="1" x14ac:dyDescent="0.2"/>
    <row r="3593" ht="12.75" customHeight="1" x14ac:dyDescent="0.2"/>
    <row r="3594" ht="12.75" customHeight="1" x14ac:dyDescent="0.2"/>
    <row r="3595" ht="12.75" customHeight="1" x14ac:dyDescent="0.2"/>
    <row r="3596" ht="12.75" customHeight="1" x14ac:dyDescent="0.2"/>
    <row r="3597" ht="12.75" customHeight="1" x14ac:dyDescent="0.2"/>
    <row r="3598" ht="12.75" customHeight="1" x14ac:dyDescent="0.2"/>
    <row r="3599" ht="12.75" customHeight="1" x14ac:dyDescent="0.2"/>
    <row r="3600" ht="12.75" customHeight="1" x14ac:dyDescent="0.2"/>
    <row r="3601" ht="12.75" customHeight="1" x14ac:dyDescent="0.2"/>
    <row r="3602" ht="12.75" customHeight="1" x14ac:dyDescent="0.2"/>
    <row r="3603" ht="12.75" customHeight="1" x14ac:dyDescent="0.2"/>
    <row r="3604" ht="12.75" customHeight="1" x14ac:dyDescent="0.2"/>
    <row r="3605" ht="12.75" customHeight="1" x14ac:dyDescent="0.2"/>
    <row r="3606" ht="12.75" customHeight="1" x14ac:dyDescent="0.2"/>
    <row r="3607" ht="12.75" customHeight="1" x14ac:dyDescent="0.2"/>
    <row r="3608" ht="12.75" customHeight="1" x14ac:dyDescent="0.2"/>
    <row r="3609" ht="12.75" customHeight="1" x14ac:dyDescent="0.2"/>
    <row r="3610" ht="12.75" customHeight="1" x14ac:dyDescent="0.2"/>
    <row r="3611" ht="12.75" customHeight="1" x14ac:dyDescent="0.2"/>
    <row r="3612" ht="12.75" customHeight="1" x14ac:dyDescent="0.2"/>
    <row r="3613" ht="12.75" customHeight="1" x14ac:dyDescent="0.2"/>
    <row r="3614" ht="12.75" customHeight="1" x14ac:dyDescent="0.2"/>
    <row r="3615" ht="12.75" customHeight="1" x14ac:dyDescent="0.2"/>
    <row r="3616" ht="12.75" customHeight="1" x14ac:dyDescent="0.2"/>
    <row r="3617" ht="12.75" customHeight="1" x14ac:dyDescent="0.2"/>
    <row r="3618" ht="12.75" customHeight="1" x14ac:dyDescent="0.2"/>
    <row r="3619" ht="12.75" customHeight="1" x14ac:dyDescent="0.2"/>
    <row r="3620" ht="12.75" customHeight="1" x14ac:dyDescent="0.2"/>
    <row r="3621" ht="12.75" customHeight="1" x14ac:dyDescent="0.2"/>
    <row r="3622" ht="12.75" customHeight="1" x14ac:dyDescent="0.2"/>
    <row r="3623" ht="12.75" customHeight="1" x14ac:dyDescent="0.2"/>
    <row r="3624" ht="12.75" customHeight="1" x14ac:dyDescent="0.2"/>
    <row r="3625" ht="12.75" customHeight="1" x14ac:dyDescent="0.2"/>
    <row r="3626" ht="12.75" customHeight="1" x14ac:dyDescent="0.2"/>
    <row r="3627" ht="12.75" customHeight="1" x14ac:dyDescent="0.2"/>
    <row r="3628" ht="12.75" customHeight="1" x14ac:dyDescent="0.2"/>
    <row r="3629" ht="12.75" customHeight="1" x14ac:dyDescent="0.2"/>
    <row r="3630" ht="12.75" customHeight="1" x14ac:dyDescent="0.2"/>
    <row r="3631" ht="12.75" customHeight="1" x14ac:dyDescent="0.2"/>
    <row r="3632" ht="12.75" customHeight="1" x14ac:dyDescent="0.2"/>
    <row r="3633" ht="12.75" customHeight="1" x14ac:dyDescent="0.2"/>
    <row r="3634" ht="12.75" customHeight="1" x14ac:dyDescent="0.2"/>
    <row r="3635" ht="12.75" customHeight="1" x14ac:dyDescent="0.2"/>
    <row r="3636" ht="12.75" customHeight="1" x14ac:dyDescent="0.2"/>
    <row r="3637" ht="12.75" customHeight="1" x14ac:dyDescent="0.2"/>
    <row r="3638" ht="12.75" customHeight="1" x14ac:dyDescent="0.2"/>
    <row r="3639" ht="12.75" customHeight="1" x14ac:dyDescent="0.2"/>
    <row r="3640" ht="12.75" customHeight="1" x14ac:dyDescent="0.2"/>
    <row r="3641" ht="12.75" customHeight="1" x14ac:dyDescent="0.2"/>
    <row r="3642" ht="12.75" customHeight="1" x14ac:dyDescent="0.2"/>
    <row r="3643" ht="12.75" customHeight="1" x14ac:dyDescent="0.2"/>
    <row r="3644" ht="12.75" customHeight="1" x14ac:dyDescent="0.2"/>
    <row r="3645" ht="12.75" customHeight="1" x14ac:dyDescent="0.2"/>
    <row r="3646" ht="12.75" customHeight="1" x14ac:dyDescent="0.2"/>
    <row r="3647" ht="12.75" customHeight="1" x14ac:dyDescent="0.2"/>
    <row r="3648" ht="12.75" customHeight="1" x14ac:dyDescent="0.2"/>
    <row r="3649" ht="12.75" customHeight="1" x14ac:dyDescent="0.2"/>
    <row r="3650" ht="12.75" customHeight="1" x14ac:dyDescent="0.2"/>
    <row r="3651" ht="12.75" customHeight="1" x14ac:dyDescent="0.2"/>
    <row r="3652" ht="12.75" customHeight="1" x14ac:dyDescent="0.2"/>
    <row r="3653" ht="12.75" customHeight="1" x14ac:dyDescent="0.2"/>
    <row r="3654" ht="12.75" customHeight="1" x14ac:dyDescent="0.2"/>
    <row r="3655" ht="12.75" customHeight="1" x14ac:dyDescent="0.2"/>
    <row r="3656" ht="12.75" customHeight="1" x14ac:dyDescent="0.2"/>
    <row r="3657" ht="12.75" customHeight="1" x14ac:dyDescent="0.2"/>
    <row r="3658" ht="12.75" customHeight="1" x14ac:dyDescent="0.2"/>
    <row r="3659" ht="12.75" customHeight="1" x14ac:dyDescent="0.2"/>
    <row r="3660" ht="12.75" customHeight="1" x14ac:dyDescent="0.2"/>
    <row r="3661" ht="12.75" customHeight="1" x14ac:dyDescent="0.2"/>
    <row r="3662" ht="12.75" customHeight="1" x14ac:dyDescent="0.2"/>
    <row r="3663" ht="12.75" customHeight="1" x14ac:dyDescent="0.2"/>
    <row r="3664" ht="12.75" customHeight="1" x14ac:dyDescent="0.2"/>
    <row r="3665" ht="12.75" customHeight="1" x14ac:dyDescent="0.2"/>
    <row r="3666" ht="12.75" customHeight="1" x14ac:dyDescent="0.2"/>
    <row r="3667" ht="12.75" customHeight="1" x14ac:dyDescent="0.2"/>
    <row r="3668" ht="12.75" customHeight="1" x14ac:dyDescent="0.2"/>
    <row r="3669" ht="12.75" customHeight="1" x14ac:dyDescent="0.2"/>
    <row r="3670" ht="12.75" customHeight="1" x14ac:dyDescent="0.2"/>
    <row r="3671" ht="12.75" customHeight="1" x14ac:dyDescent="0.2"/>
    <row r="3672" ht="12.75" customHeight="1" x14ac:dyDescent="0.2"/>
    <row r="3673" ht="12.75" customHeight="1" x14ac:dyDescent="0.2"/>
    <row r="3674" ht="12.75" customHeight="1" x14ac:dyDescent="0.2"/>
    <row r="3675" ht="12.75" customHeight="1" x14ac:dyDescent="0.2"/>
    <row r="3676" ht="12.75" customHeight="1" x14ac:dyDescent="0.2"/>
    <row r="3677" ht="12.75" customHeight="1" x14ac:dyDescent="0.2"/>
    <row r="3678" ht="12.75" customHeight="1" x14ac:dyDescent="0.2"/>
    <row r="3679" ht="12.75" customHeight="1" x14ac:dyDescent="0.2"/>
    <row r="3680" ht="12.75" customHeight="1" x14ac:dyDescent="0.2"/>
    <row r="3681" ht="12.75" customHeight="1" x14ac:dyDescent="0.2"/>
    <row r="3682" ht="12.75" customHeight="1" x14ac:dyDescent="0.2"/>
    <row r="3683" ht="12.75" customHeight="1" x14ac:dyDescent="0.2"/>
    <row r="3684" ht="12.75" customHeight="1" x14ac:dyDescent="0.2"/>
    <row r="3685" ht="12.75" customHeight="1" x14ac:dyDescent="0.2"/>
    <row r="3686" ht="12.75" customHeight="1" x14ac:dyDescent="0.2"/>
    <row r="3687" ht="12.75" customHeight="1" x14ac:dyDescent="0.2"/>
    <row r="3688" ht="12.75" customHeight="1" x14ac:dyDescent="0.2"/>
    <row r="3689" ht="12.75" customHeight="1" x14ac:dyDescent="0.2"/>
    <row r="3690" ht="12.75" customHeight="1" x14ac:dyDescent="0.2"/>
    <row r="3691" ht="12.75" customHeight="1" x14ac:dyDescent="0.2"/>
    <row r="3692" ht="12.75" customHeight="1" x14ac:dyDescent="0.2"/>
    <row r="3693" ht="12.75" customHeight="1" x14ac:dyDescent="0.2"/>
    <row r="3694" ht="12.75" customHeight="1" x14ac:dyDescent="0.2"/>
    <row r="3695" ht="12.75" customHeight="1" x14ac:dyDescent="0.2"/>
    <row r="3696" ht="12.75" customHeight="1" x14ac:dyDescent="0.2"/>
    <row r="3697" ht="12.75" customHeight="1" x14ac:dyDescent="0.2"/>
    <row r="3698" ht="12.75" customHeight="1" x14ac:dyDescent="0.2"/>
    <row r="3699" ht="12.75" customHeight="1" x14ac:dyDescent="0.2"/>
    <row r="3700" ht="12.75" customHeight="1" x14ac:dyDescent="0.2"/>
    <row r="3701" ht="12.75" customHeight="1" x14ac:dyDescent="0.2"/>
    <row r="3702" ht="12.75" customHeight="1" x14ac:dyDescent="0.2"/>
    <row r="3703" ht="12.75" customHeight="1" x14ac:dyDescent="0.2"/>
    <row r="3704" ht="12.75" customHeight="1" x14ac:dyDescent="0.2"/>
    <row r="3705" ht="12.75" customHeight="1" x14ac:dyDescent="0.2"/>
    <row r="3706" ht="12.75" customHeight="1" x14ac:dyDescent="0.2"/>
    <row r="3707" ht="12.75" customHeight="1" x14ac:dyDescent="0.2"/>
    <row r="3708" ht="12.75" customHeight="1" x14ac:dyDescent="0.2"/>
    <row r="3709" ht="12.75" customHeight="1" x14ac:dyDescent="0.2"/>
    <row r="3710" ht="12.75" customHeight="1" x14ac:dyDescent="0.2"/>
    <row r="3711" ht="12.75" customHeight="1" x14ac:dyDescent="0.2"/>
    <row r="3712" ht="12.75" customHeight="1" x14ac:dyDescent="0.2"/>
    <row r="3713" ht="12.75" customHeight="1" x14ac:dyDescent="0.2"/>
    <row r="3714" ht="12.75" customHeight="1" x14ac:dyDescent="0.2"/>
    <row r="3715" ht="12.75" customHeight="1" x14ac:dyDescent="0.2"/>
    <row r="3716" ht="12.75" customHeight="1" x14ac:dyDescent="0.2"/>
    <row r="3717" ht="12.75" customHeight="1" x14ac:dyDescent="0.2"/>
    <row r="3718" ht="12.75" customHeight="1" x14ac:dyDescent="0.2"/>
    <row r="3719" ht="12.75" customHeight="1" x14ac:dyDescent="0.2"/>
    <row r="3720" ht="12.75" customHeight="1" x14ac:dyDescent="0.2"/>
    <row r="3721" ht="12.75" customHeight="1" x14ac:dyDescent="0.2"/>
    <row r="3722" ht="12.75" customHeight="1" x14ac:dyDescent="0.2"/>
    <row r="3723" ht="12.75" customHeight="1" x14ac:dyDescent="0.2"/>
    <row r="3724" ht="12.75" customHeight="1" x14ac:dyDescent="0.2"/>
    <row r="3725" ht="12.75" customHeight="1" x14ac:dyDescent="0.2"/>
    <row r="3726" ht="12.75" customHeight="1" x14ac:dyDescent="0.2"/>
    <row r="3727" ht="12.75" customHeight="1" x14ac:dyDescent="0.2"/>
    <row r="3728" ht="12.75" customHeight="1" x14ac:dyDescent="0.2"/>
    <row r="3729" ht="12.75" customHeight="1" x14ac:dyDescent="0.2"/>
    <row r="3730" ht="12.75" customHeight="1" x14ac:dyDescent="0.2"/>
    <row r="3731" ht="12.75" customHeight="1" x14ac:dyDescent="0.2"/>
    <row r="3732" ht="12.75" customHeight="1" x14ac:dyDescent="0.2"/>
    <row r="3733" ht="12.75" customHeight="1" x14ac:dyDescent="0.2"/>
    <row r="3734" ht="12.75" customHeight="1" x14ac:dyDescent="0.2"/>
    <row r="3735" ht="12.75" customHeight="1" x14ac:dyDescent="0.2"/>
    <row r="3736" ht="12.75" customHeight="1" x14ac:dyDescent="0.2"/>
    <row r="3737" ht="12.75" customHeight="1" x14ac:dyDescent="0.2"/>
    <row r="3738" ht="12.75" customHeight="1" x14ac:dyDescent="0.2"/>
    <row r="3739" ht="12.75" customHeight="1" x14ac:dyDescent="0.2"/>
    <row r="3740" ht="12.75" customHeight="1" x14ac:dyDescent="0.2"/>
    <row r="3741" ht="12.75" customHeight="1" x14ac:dyDescent="0.2"/>
    <row r="3742" ht="12.75" customHeight="1" x14ac:dyDescent="0.2"/>
    <row r="3743" ht="12.75" customHeight="1" x14ac:dyDescent="0.2"/>
    <row r="3744" ht="12.75" customHeight="1" x14ac:dyDescent="0.2"/>
    <row r="3745" ht="12.75" customHeight="1" x14ac:dyDescent="0.2"/>
    <row r="3746" ht="12.75" customHeight="1" x14ac:dyDescent="0.2"/>
    <row r="3747" ht="12.75" customHeight="1" x14ac:dyDescent="0.2"/>
    <row r="3748" ht="12.75" customHeight="1" x14ac:dyDescent="0.2"/>
    <row r="3749" ht="12.75" customHeight="1" x14ac:dyDescent="0.2"/>
    <row r="3750" ht="12.75" customHeight="1" x14ac:dyDescent="0.2"/>
    <row r="3751" ht="12.75" customHeight="1" x14ac:dyDescent="0.2"/>
    <row r="3752" ht="12.75" customHeight="1" x14ac:dyDescent="0.2"/>
    <row r="3753" ht="12.75" customHeight="1" x14ac:dyDescent="0.2"/>
    <row r="3754" ht="12.75" customHeight="1" x14ac:dyDescent="0.2"/>
    <row r="3755" ht="12.75" customHeight="1" x14ac:dyDescent="0.2"/>
    <row r="3756" ht="12.75" customHeight="1" x14ac:dyDescent="0.2"/>
    <row r="3757" ht="12.75" customHeight="1" x14ac:dyDescent="0.2"/>
    <row r="3758" ht="12.75" customHeight="1" x14ac:dyDescent="0.2"/>
    <row r="3759" ht="12.75" customHeight="1" x14ac:dyDescent="0.2"/>
    <row r="3760" ht="12.75" customHeight="1" x14ac:dyDescent="0.2"/>
    <row r="3761" ht="12.75" customHeight="1" x14ac:dyDescent="0.2"/>
    <row r="3762" ht="12.75" customHeight="1" x14ac:dyDescent="0.2"/>
    <row r="3763" ht="12.75" customHeight="1" x14ac:dyDescent="0.2"/>
    <row r="3764" ht="12.75" customHeight="1" x14ac:dyDescent="0.2"/>
    <row r="3765" ht="12.75" customHeight="1" x14ac:dyDescent="0.2"/>
    <row r="3766" ht="12.75" customHeight="1" x14ac:dyDescent="0.2"/>
    <row r="3767" ht="12.75" customHeight="1" x14ac:dyDescent="0.2"/>
    <row r="3768" ht="12.75" customHeight="1" x14ac:dyDescent="0.2"/>
    <row r="3769" ht="12.75" customHeight="1" x14ac:dyDescent="0.2"/>
    <row r="3770" ht="12.75" customHeight="1" x14ac:dyDescent="0.2"/>
    <row r="3771" ht="12.75" customHeight="1" x14ac:dyDescent="0.2"/>
    <row r="3772" ht="12.75" customHeight="1" x14ac:dyDescent="0.2"/>
    <row r="3773" ht="12.75" customHeight="1" x14ac:dyDescent="0.2"/>
    <row r="3774" ht="12.75" customHeight="1" x14ac:dyDescent="0.2"/>
    <row r="3775" ht="12.75" customHeight="1" x14ac:dyDescent="0.2"/>
    <row r="3776" ht="12.75" customHeight="1" x14ac:dyDescent="0.2"/>
    <row r="3777" ht="12.75" customHeight="1" x14ac:dyDescent="0.2"/>
    <row r="3778" ht="12.75" customHeight="1" x14ac:dyDescent="0.2"/>
    <row r="3779" ht="12.75" customHeight="1" x14ac:dyDescent="0.2"/>
    <row r="3780" ht="12.75" customHeight="1" x14ac:dyDescent="0.2"/>
    <row r="3781" ht="12.75" customHeight="1" x14ac:dyDescent="0.2"/>
    <row r="3782" ht="12.75" customHeight="1" x14ac:dyDescent="0.2"/>
    <row r="3783" ht="12.75" customHeight="1" x14ac:dyDescent="0.2"/>
    <row r="3784" ht="12.75" customHeight="1" x14ac:dyDescent="0.2"/>
    <row r="3785" ht="12.75" customHeight="1" x14ac:dyDescent="0.2"/>
    <row r="3786" ht="12.75" customHeight="1" x14ac:dyDescent="0.2"/>
    <row r="3787" ht="12.75" customHeight="1" x14ac:dyDescent="0.2"/>
    <row r="3788" ht="12.75" customHeight="1" x14ac:dyDescent="0.2"/>
    <row r="3789" ht="12.75" customHeight="1" x14ac:dyDescent="0.2"/>
    <row r="3790" ht="12.75" customHeight="1" x14ac:dyDescent="0.2"/>
    <row r="3791" ht="12.75" customHeight="1" x14ac:dyDescent="0.2"/>
    <row r="3792" ht="12.75" customHeight="1" x14ac:dyDescent="0.2"/>
    <row r="3793" ht="12.75" customHeight="1" x14ac:dyDescent="0.2"/>
    <row r="3794" ht="12.75" customHeight="1" x14ac:dyDescent="0.2"/>
    <row r="3795" ht="12.75" customHeight="1" x14ac:dyDescent="0.2"/>
    <row r="3796" ht="12.75" customHeight="1" x14ac:dyDescent="0.2"/>
    <row r="3797" ht="12.75" customHeight="1" x14ac:dyDescent="0.2"/>
    <row r="3798" ht="12.75" customHeight="1" x14ac:dyDescent="0.2"/>
    <row r="3799" ht="12.75" customHeight="1" x14ac:dyDescent="0.2"/>
    <row r="3800" ht="12.75" customHeight="1" x14ac:dyDescent="0.2"/>
    <row r="3801" ht="12.75" customHeight="1" x14ac:dyDescent="0.2"/>
    <row r="3802" ht="12.75" customHeight="1" x14ac:dyDescent="0.2"/>
    <row r="3803" ht="12.75" customHeight="1" x14ac:dyDescent="0.2"/>
    <row r="3804" ht="12.75" customHeight="1" x14ac:dyDescent="0.2"/>
    <row r="3805" ht="12.75" customHeight="1" x14ac:dyDescent="0.2"/>
    <row r="3806" ht="12.75" customHeight="1" x14ac:dyDescent="0.2"/>
    <row r="3807" ht="12.75" customHeight="1" x14ac:dyDescent="0.2"/>
    <row r="3808" ht="12.75" customHeight="1" x14ac:dyDescent="0.2"/>
    <row r="3809" ht="12.75" customHeight="1" x14ac:dyDescent="0.2"/>
    <row r="3810" ht="12.75" customHeight="1" x14ac:dyDescent="0.2"/>
    <row r="3811" ht="12.75" customHeight="1" x14ac:dyDescent="0.2"/>
    <row r="3812" ht="12.75" customHeight="1" x14ac:dyDescent="0.2"/>
    <row r="3813" ht="12.75" customHeight="1" x14ac:dyDescent="0.2"/>
    <row r="3814" ht="12.75" customHeight="1" x14ac:dyDescent="0.2"/>
    <row r="3815" ht="12.75" customHeight="1" x14ac:dyDescent="0.2"/>
    <row r="3816" ht="12.75" customHeight="1" x14ac:dyDescent="0.2"/>
    <row r="3817" ht="12.75" customHeight="1" x14ac:dyDescent="0.2"/>
    <row r="3818" ht="12.75" customHeight="1" x14ac:dyDescent="0.2"/>
    <row r="3819" ht="12.75" customHeight="1" x14ac:dyDescent="0.2"/>
    <row r="3820" ht="12.75" customHeight="1" x14ac:dyDescent="0.2"/>
    <row r="3821" ht="12.75" customHeight="1" x14ac:dyDescent="0.2"/>
    <row r="3822" ht="12.75" customHeight="1" x14ac:dyDescent="0.2"/>
    <row r="3823" ht="12.75" customHeight="1" x14ac:dyDescent="0.2"/>
    <row r="3824" ht="12.75" customHeight="1" x14ac:dyDescent="0.2"/>
    <row r="3825" ht="12.75" customHeight="1" x14ac:dyDescent="0.2"/>
    <row r="3826" ht="12.75" customHeight="1" x14ac:dyDescent="0.2"/>
    <row r="3827" ht="12.75" customHeight="1" x14ac:dyDescent="0.2"/>
    <row r="3828" ht="12.75" customHeight="1" x14ac:dyDescent="0.2"/>
    <row r="3829" ht="12.75" customHeight="1" x14ac:dyDescent="0.2"/>
    <row r="3830" ht="12.75" customHeight="1" x14ac:dyDescent="0.2"/>
    <row r="3831" ht="12.75" customHeight="1" x14ac:dyDescent="0.2"/>
    <row r="3832" ht="12.75" customHeight="1" x14ac:dyDescent="0.2"/>
    <row r="3833" ht="12.75" customHeight="1" x14ac:dyDescent="0.2"/>
    <row r="3834" ht="12.75" customHeight="1" x14ac:dyDescent="0.2"/>
    <row r="3835" ht="12.75" customHeight="1" x14ac:dyDescent="0.2"/>
    <row r="3836" ht="12.75" customHeight="1" x14ac:dyDescent="0.2"/>
    <row r="3837" ht="12.75" customHeight="1" x14ac:dyDescent="0.2"/>
    <row r="3838" ht="12.75" customHeight="1" x14ac:dyDescent="0.2"/>
    <row r="3839" ht="12.75" customHeight="1" x14ac:dyDescent="0.2"/>
    <row r="3840" ht="12.75" customHeight="1" x14ac:dyDescent="0.2"/>
    <row r="3841" ht="12.75" customHeight="1" x14ac:dyDescent="0.2"/>
    <row r="3842" ht="12.75" customHeight="1" x14ac:dyDescent="0.2"/>
    <row r="3843" ht="12.75" customHeight="1" x14ac:dyDescent="0.2"/>
    <row r="3844" ht="12.75" customHeight="1" x14ac:dyDescent="0.2"/>
    <row r="3845" ht="12.75" customHeight="1" x14ac:dyDescent="0.2"/>
    <row r="3846" ht="12.75" customHeight="1" x14ac:dyDescent="0.2"/>
    <row r="3847" ht="12.75" customHeight="1" x14ac:dyDescent="0.2"/>
    <row r="3848" ht="12.75" customHeight="1" x14ac:dyDescent="0.2"/>
    <row r="3849" ht="12.75" customHeight="1" x14ac:dyDescent="0.2"/>
    <row r="3850" ht="12.75" customHeight="1" x14ac:dyDescent="0.2"/>
    <row r="3851" ht="12.75" customHeight="1" x14ac:dyDescent="0.2"/>
    <row r="3852" ht="12.75" customHeight="1" x14ac:dyDescent="0.2"/>
    <row r="3853" ht="12.75" customHeight="1" x14ac:dyDescent="0.2"/>
    <row r="3854" ht="12.75" customHeight="1" x14ac:dyDescent="0.2"/>
    <row r="3855" ht="12.75" customHeight="1" x14ac:dyDescent="0.2"/>
    <row r="3856" ht="12.75" customHeight="1" x14ac:dyDescent="0.2"/>
    <row r="3857" ht="12.75" customHeight="1" x14ac:dyDescent="0.2"/>
    <row r="3858" ht="12.75" customHeight="1" x14ac:dyDescent="0.2"/>
    <row r="3859" ht="12.75" customHeight="1" x14ac:dyDescent="0.2"/>
    <row r="3860" ht="12.75" customHeight="1" x14ac:dyDescent="0.2"/>
    <row r="3861" ht="12.75" customHeight="1" x14ac:dyDescent="0.2"/>
    <row r="3862" ht="12.75" customHeight="1" x14ac:dyDescent="0.2"/>
    <row r="3863" ht="12.75" customHeight="1" x14ac:dyDescent="0.2"/>
    <row r="3864" ht="12.75" customHeight="1" x14ac:dyDescent="0.2"/>
    <row r="3865" ht="12.75" customHeight="1" x14ac:dyDescent="0.2"/>
    <row r="3866" ht="12.75" customHeight="1" x14ac:dyDescent="0.2"/>
    <row r="3867" ht="12.75" customHeight="1" x14ac:dyDescent="0.2"/>
    <row r="3868" ht="12.75" customHeight="1" x14ac:dyDescent="0.2"/>
    <row r="3869" ht="12.75" customHeight="1" x14ac:dyDescent="0.2"/>
    <row r="3870" ht="12.75" customHeight="1" x14ac:dyDescent="0.2"/>
    <row r="3871" ht="12.75" customHeight="1" x14ac:dyDescent="0.2"/>
    <row r="3872" ht="12.75" customHeight="1" x14ac:dyDescent="0.2"/>
    <row r="3873" ht="12.75" customHeight="1" x14ac:dyDescent="0.2"/>
    <row r="3874" ht="12.75" customHeight="1" x14ac:dyDescent="0.2"/>
    <row r="3875" ht="12.75" customHeight="1" x14ac:dyDescent="0.2"/>
    <row r="3876" ht="12.75" customHeight="1" x14ac:dyDescent="0.2"/>
    <row r="3877" ht="12.75" customHeight="1" x14ac:dyDescent="0.2"/>
    <row r="3878" ht="12.75" customHeight="1" x14ac:dyDescent="0.2"/>
    <row r="3879" ht="12.75" customHeight="1" x14ac:dyDescent="0.2"/>
    <row r="3880" ht="12.75" customHeight="1" x14ac:dyDescent="0.2"/>
    <row r="3881" ht="12.75" customHeight="1" x14ac:dyDescent="0.2"/>
    <row r="3882" ht="12.75" customHeight="1" x14ac:dyDescent="0.2"/>
    <row r="3883" ht="12.75" customHeight="1" x14ac:dyDescent="0.2"/>
    <row r="3884" ht="12.75" customHeight="1" x14ac:dyDescent="0.2"/>
    <row r="3885" ht="12.75" customHeight="1" x14ac:dyDescent="0.2"/>
    <row r="3886" ht="12.75" customHeight="1" x14ac:dyDescent="0.2"/>
    <row r="3887" ht="12.75" customHeight="1" x14ac:dyDescent="0.2"/>
    <row r="3888" ht="12.75" customHeight="1" x14ac:dyDescent="0.2"/>
    <row r="3889" ht="12.75" customHeight="1" x14ac:dyDescent="0.2"/>
    <row r="3890" ht="12.75" customHeight="1" x14ac:dyDescent="0.2"/>
    <row r="3891" ht="12.75" customHeight="1" x14ac:dyDescent="0.2"/>
    <row r="3892" ht="12.75" customHeight="1" x14ac:dyDescent="0.2"/>
    <row r="3893" ht="12.75" customHeight="1" x14ac:dyDescent="0.2"/>
    <row r="3894" ht="12.75" customHeight="1" x14ac:dyDescent="0.2"/>
    <row r="3895" ht="12.75" customHeight="1" x14ac:dyDescent="0.2"/>
    <row r="3896" ht="12.75" customHeight="1" x14ac:dyDescent="0.2"/>
    <row r="3897" ht="12.75" customHeight="1" x14ac:dyDescent="0.2"/>
    <row r="3898" ht="12.75" customHeight="1" x14ac:dyDescent="0.2"/>
    <row r="3899" ht="12.75" customHeight="1" x14ac:dyDescent="0.2"/>
    <row r="3900" ht="12.75" customHeight="1" x14ac:dyDescent="0.2"/>
    <row r="3901" ht="12.75" customHeight="1" x14ac:dyDescent="0.2"/>
    <row r="3902" ht="12.75" customHeight="1" x14ac:dyDescent="0.2"/>
    <row r="3903" ht="12.75" customHeight="1" x14ac:dyDescent="0.2"/>
    <row r="3904" ht="12.75" customHeight="1" x14ac:dyDescent="0.2"/>
    <row r="3905" ht="12.75" customHeight="1" x14ac:dyDescent="0.2"/>
    <row r="3906" ht="12.75" customHeight="1" x14ac:dyDescent="0.2"/>
    <row r="3907" ht="12.75" customHeight="1" x14ac:dyDescent="0.2"/>
    <row r="3908" ht="12.75" customHeight="1" x14ac:dyDescent="0.2"/>
    <row r="3909" ht="12.75" customHeight="1" x14ac:dyDescent="0.2"/>
    <row r="3910" ht="12.75" customHeight="1" x14ac:dyDescent="0.2"/>
    <row r="3911" ht="12.75" customHeight="1" x14ac:dyDescent="0.2"/>
    <row r="3912" ht="12.75" customHeight="1" x14ac:dyDescent="0.2"/>
    <row r="3913" ht="12.75" customHeight="1" x14ac:dyDescent="0.2"/>
    <row r="3914" ht="12.75" customHeight="1" x14ac:dyDescent="0.2"/>
    <row r="3915" ht="12.75" customHeight="1" x14ac:dyDescent="0.2"/>
    <row r="3916" ht="12.75" customHeight="1" x14ac:dyDescent="0.2"/>
    <row r="3917" ht="12.75" customHeight="1" x14ac:dyDescent="0.2"/>
    <row r="3918" ht="12.75" customHeight="1" x14ac:dyDescent="0.2"/>
    <row r="3919" ht="12.75" customHeight="1" x14ac:dyDescent="0.2"/>
    <row r="3920" ht="12.75" customHeight="1" x14ac:dyDescent="0.2"/>
    <row r="3921" ht="12.75" customHeight="1" x14ac:dyDescent="0.2"/>
    <row r="3922" ht="12.75" customHeight="1" x14ac:dyDescent="0.2"/>
    <row r="3923" ht="12.75" customHeight="1" x14ac:dyDescent="0.2"/>
    <row r="3924" ht="12.75" customHeight="1" x14ac:dyDescent="0.2"/>
    <row r="3925" ht="12.75" customHeight="1" x14ac:dyDescent="0.2"/>
    <row r="3926" ht="12.75" customHeight="1" x14ac:dyDescent="0.2"/>
    <row r="3927" ht="12.75" customHeight="1" x14ac:dyDescent="0.2"/>
    <row r="3928" ht="12.75" customHeight="1" x14ac:dyDescent="0.2"/>
    <row r="3929" ht="12.75" customHeight="1" x14ac:dyDescent="0.2"/>
    <row r="3930" ht="12.75" customHeight="1" x14ac:dyDescent="0.2"/>
    <row r="3931" ht="12.75" customHeight="1" x14ac:dyDescent="0.2"/>
    <row r="3932" ht="12.75" customHeight="1" x14ac:dyDescent="0.2"/>
    <row r="3933" ht="12.75" customHeight="1" x14ac:dyDescent="0.2"/>
    <row r="3934" ht="12.75" customHeight="1" x14ac:dyDescent="0.2"/>
    <row r="3935" ht="12.75" customHeight="1" x14ac:dyDescent="0.2"/>
    <row r="3936" ht="12.75" customHeight="1" x14ac:dyDescent="0.2"/>
    <row r="3937" ht="12.75" customHeight="1" x14ac:dyDescent="0.2"/>
    <row r="3938" ht="12.75" customHeight="1" x14ac:dyDescent="0.2"/>
    <row r="3939" ht="12.75" customHeight="1" x14ac:dyDescent="0.2"/>
    <row r="3940" ht="12.75" customHeight="1" x14ac:dyDescent="0.2"/>
    <row r="3941" ht="12.75" customHeight="1" x14ac:dyDescent="0.2"/>
    <row r="3942" ht="12.75" customHeight="1" x14ac:dyDescent="0.2"/>
    <row r="3943" ht="12.75" customHeight="1" x14ac:dyDescent="0.2"/>
    <row r="3944" ht="12.75" customHeight="1" x14ac:dyDescent="0.2"/>
    <row r="3945" ht="12.75" customHeight="1" x14ac:dyDescent="0.2"/>
    <row r="3946" ht="12.75" customHeight="1" x14ac:dyDescent="0.2"/>
    <row r="3947" ht="12.75" customHeight="1" x14ac:dyDescent="0.2"/>
    <row r="3948" ht="12.75" customHeight="1" x14ac:dyDescent="0.2"/>
    <row r="3949" ht="12.75" customHeight="1" x14ac:dyDescent="0.2"/>
    <row r="3950" ht="12.75" customHeight="1" x14ac:dyDescent="0.2"/>
    <row r="3951" ht="12.75" customHeight="1" x14ac:dyDescent="0.2"/>
    <row r="3952" ht="12.75" customHeight="1" x14ac:dyDescent="0.2"/>
    <row r="3953" ht="12.75" customHeight="1" x14ac:dyDescent="0.2"/>
    <row r="3954" ht="12.75" customHeight="1" x14ac:dyDescent="0.2"/>
    <row r="3955" ht="12.75" customHeight="1" x14ac:dyDescent="0.2"/>
    <row r="3956" ht="12.75" customHeight="1" x14ac:dyDescent="0.2"/>
    <row r="3957" ht="12.75" customHeight="1" x14ac:dyDescent="0.2"/>
    <row r="3958" ht="12.75" customHeight="1" x14ac:dyDescent="0.2"/>
    <row r="3959" ht="12.75" customHeight="1" x14ac:dyDescent="0.2"/>
    <row r="3960" ht="12.75" customHeight="1" x14ac:dyDescent="0.2"/>
    <row r="3961" ht="12.75" customHeight="1" x14ac:dyDescent="0.2"/>
    <row r="3962" ht="12.75" customHeight="1" x14ac:dyDescent="0.2"/>
    <row r="3963" ht="12.75" customHeight="1" x14ac:dyDescent="0.2"/>
    <row r="3964" ht="12.75" customHeight="1" x14ac:dyDescent="0.2"/>
    <row r="3965" ht="12.75" customHeight="1" x14ac:dyDescent="0.2"/>
    <row r="3966" ht="12.75" customHeight="1" x14ac:dyDescent="0.2"/>
    <row r="3967" ht="12.75" customHeight="1" x14ac:dyDescent="0.2"/>
    <row r="3968" ht="12.75" customHeight="1" x14ac:dyDescent="0.2"/>
    <row r="3969" ht="12.75" customHeight="1" x14ac:dyDescent="0.2"/>
    <row r="3970" ht="12.75" customHeight="1" x14ac:dyDescent="0.2"/>
    <row r="3971" ht="12.75" customHeight="1" x14ac:dyDescent="0.2"/>
    <row r="3972" ht="12.75" customHeight="1" x14ac:dyDescent="0.2"/>
    <row r="3973" ht="12.75" customHeight="1" x14ac:dyDescent="0.2"/>
    <row r="3974" ht="12.75" customHeight="1" x14ac:dyDescent="0.2"/>
    <row r="3975" ht="12.75" customHeight="1" x14ac:dyDescent="0.2"/>
    <row r="3976" ht="12.75" customHeight="1" x14ac:dyDescent="0.2"/>
    <row r="3977" ht="12.75" customHeight="1" x14ac:dyDescent="0.2"/>
    <row r="3978" ht="12.75" customHeight="1" x14ac:dyDescent="0.2"/>
    <row r="3979" ht="12.75" customHeight="1" x14ac:dyDescent="0.2"/>
    <row r="3980" ht="12.75" customHeight="1" x14ac:dyDescent="0.2"/>
    <row r="3981" ht="12.75" customHeight="1" x14ac:dyDescent="0.2"/>
    <row r="3982" ht="12.75" customHeight="1" x14ac:dyDescent="0.2"/>
    <row r="3983" ht="12.75" customHeight="1" x14ac:dyDescent="0.2"/>
    <row r="3984" ht="12.75" customHeight="1" x14ac:dyDescent="0.2"/>
    <row r="3985" ht="12.75" customHeight="1" x14ac:dyDescent="0.2"/>
    <row r="3986" ht="12.75" customHeight="1" x14ac:dyDescent="0.2"/>
    <row r="3987" ht="12.75" customHeight="1" x14ac:dyDescent="0.2"/>
    <row r="3988" ht="12.75" customHeight="1" x14ac:dyDescent="0.2"/>
    <row r="3989" ht="12.75" customHeight="1" x14ac:dyDescent="0.2"/>
    <row r="3990" ht="12.75" customHeight="1" x14ac:dyDescent="0.2"/>
    <row r="3991" ht="12.75" customHeight="1" x14ac:dyDescent="0.2"/>
    <row r="3992" ht="12.75" customHeight="1" x14ac:dyDescent="0.2"/>
    <row r="3993" ht="12.75" customHeight="1" x14ac:dyDescent="0.2"/>
    <row r="3994" ht="12.75" customHeight="1" x14ac:dyDescent="0.2"/>
    <row r="3995" ht="12.75" customHeight="1" x14ac:dyDescent="0.2"/>
    <row r="3996" ht="12.75" customHeight="1" x14ac:dyDescent="0.2"/>
    <row r="3997" ht="12.75" customHeight="1" x14ac:dyDescent="0.2"/>
    <row r="3998" ht="12.75" customHeight="1" x14ac:dyDescent="0.2"/>
    <row r="3999" ht="12.75" customHeight="1" x14ac:dyDescent="0.2"/>
    <row r="4000" ht="12.75" customHeight="1" x14ac:dyDescent="0.2"/>
    <row r="4001" ht="12.75" customHeight="1" x14ac:dyDescent="0.2"/>
    <row r="4002" ht="12.75" customHeight="1" x14ac:dyDescent="0.2"/>
    <row r="4003" ht="12.75" customHeight="1" x14ac:dyDescent="0.2"/>
    <row r="4004" ht="12.75" customHeight="1" x14ac:dyDescent="0.2"/>
    <row r="4005" ht="12.75" customHeight="1" x14ac:dyDescent="0.2"/>
    <row r="4006" ht="12.75" customHeight="1" x14ac:dyDescent="0.2"/>
    <row r="4007" ht="12.75" customHeight="1" x14ac:dyDescent="0.2"/>
    <row r="4008" ht="12.75" customHeight="1" x14ac:dyDescent="0.2"/>
    <row r="4009" ht="12.75" customHeight="1" x14ac:dyDescent="0.2"/>
    <row r="4010" ht="12.75" customHeight="1" x14ac:dyDescent="0.2"/>
    <row r="4011" ht="12.75" customHeight="1" x14ac:dyDescent="0.2"/>
    <row r="4012" ht="12.75" customHeight="1" x14ac:dyDescent="0.2"/>
    <row r="4013" ht="12.75" customHeight="1" x14ac:dyDescent="0.2"/>
    <row r="4014" ht="12.75" customHeight="1" x14ac:dyDescent="0.2"/>
    <row r="4015" ht="12.75" customHeight="1" x14ac:dyDescent="0.2"/>
    <row r="4016" ht="12.75" customHeight="1" x14ac:dyDescent="0.2"/>
    <row r="4017" ht="12.75" customHeight="1" x14ac:dyDescent="0.2"/>
    <row r="4018" ht="12.75" customHeight="1" x14ac:dyDescent="0.2"/>
    <row r="4019" ht="12.75" customHeight="1" x14ac:dyDescent="0.2"/>
    <row r="4020" ht="12.75" customHeight="1" x14ac:dyDescent="0.2"/>
    <row r="4021" ht="12.75" customHeight="1" x14ac:dyDescent="0.2"/>
    <row r="4022" ht="12.75" customHeight="1" x14ac:dyDescent="0.2"/>
    <row r="4023" ht="12.75" customHeight="1" x14ac:dyDescent="0.2"/>
    <row r="4024" ht="12.75" customHeight="1" x14ac:dyDescent="0.2"/>
    <row r="4025" ht="12.75" customHeight="1" x14ac:dyDescent="0.2"/>
    <row r="4026" ht="12.75" customHeight="1" x14ac:dyDescent="0.2"/>
    <row r="4027" ht="12.75" customHeight="1" x14ac:dyDescent="0.2"/>
    <row r="4028" ht="12.75" customHeight="1" x14ac:dyDescent="0.2"/>
    <row r="4029" ht="12.75" customHeight="1" x14ac:dyDescent="0.2"/>
    <row r="4030" ht="12.75" customHeight="1" x14ac:dyDescent="0.2"/>
    <row r="4031" ht="12.75" customHeight="1" x14ac:dyDescent="0.2"/>
    <row r="4032" ht="12.75" customHeight="1" x14ac:dyDescent="0.2"/>
    <row r="4033" ht="12.75" customHeight="1" x14ac:dyDescent="0.2"/>
    <row r="4034" ht="12.75" customHeight="1" x14ac:dyDescent="0.2"/>
    <row r="4035" ht="12.75" customHeight="1" x14ac:dyDescent="0.2"/>
    <row r="4036" ht="12.75" customHeight="1" x14ac:dyDescent="0.2"/>
    <row r="4037" ht="12.75" customHeight="1" x14ac:dyDescent="0.2"/>
    <row r="4038" ht="12.75" customHeight="1" x14ac:dyDescent="0.2"/>
    <row r="4039" ht="12.75" customHeight="1" x14ac:dyDescent="0.2"/>
    <row r="4040" ht="12.75" customHeight="1" x14ac:dyDescent="0.2"/>
    <row r="4041" ht="12.75" customHeight="1" x14ac:dyDescent="0.2"/>
    <row r="4042" ht="12.75" customHeight="1" x14ac:dyDescent="0.2"/>
    <row r="4043" ht="12.75" customHeight="1" x14ac:dyDescent="0.2"/>
    <row r="4044" ht="12.75" customHeight="1" x14ac:dyDescent="0.2"/>
    <row r="4045" ht="12.75" customHeight="1" x14ac:dyDescent="0.2"/>
    <row r="4046" ht="12.75" customHeight="1" x14ac:dyDescent="0.2"/>
    <row r="4047" ht="12.75" customHeight="1" x14ac:dyDescent="0.2"/>
    <row r="4048" ht="12.75" customHeight="1" x14ac:dyDescent="0.2"/>
    <row r="4049" ht="12.75" customHeight="1" x14ac:dyDescent="0.2"/>
    <row r="4050" ht="12.75" customHeight="1" x14ac:dyDescent="0.2"/>
    <row r="4051" ht="12.75" customHeight="1" x14ac:dyDescent="0.2"/>
    <row r="4052" ht="12.75" customHeight="1" x14ac:dyDescent="0.2"/>
    <row r="4053" ht="12.75" customHeight="1" x14ac:dyDescent="0.2"/>
    <row r="4054" ht="12.75" customHeight="1" x14ac:dyDescent="0.2"/>
    <row r="4055" ht="12.75" customHeight="1" x14ac:dyDescent="0.2"/>
    <row r="4056" ht="12.75" customHeight="1" x14ac:dyDescent="0.2"/>
    <row r="4057" ht="12.75" customHeight="1" x14ac:dyDescent="0.2"/>
    <row r="4058" ht="12.75" customHeight="1" x14ac:dyDescent="0.2"/>
    <row r="4059" ht="12.75" customHeight="1" x14ac:dyDescent="0.2"/>
    <row r="4060" ht="12.75" customHeight="1" x14ac:dyDescent="0.2"/>
    <row r="4061" ht="12.75" customHeight="1" x14ac:dyDescent="0.2"/>
    <row r="4062" ht="12.75" customHeight="1" x14ac:dyDescent="0.2"/>
    <row r="4063" ht="12.75" customHeight="1" x14ac:dyDescent="0.2"/>
    <row r="4064" ht="12.75" customHeight="1" x14ac:dyDescent="0.2"/>
    <row r="4065" ht="12.75" customHeight="1" x14ac:dyDescent="0.2"/>
    <row r="4066" ht="12.75" customHeight="1" x14ac:dyDescent="0.2"/>
    <row r="4067" ht="12.75" customHeight="1" x14ac:dyDescent="0.2"/>
    <row r="4068" ht="12.75" customHeight="1" x14ac:dyDescent="0.2"/>
    <row r="4069" ht="12.75" customHeight="1" x14ac:dyDescent="0.2"/>
    <row r="4070" ht="12.75" customHeight="1" x14ac:dyDescent="0.2"/>
    <row r="4071" ht="12.75" customHeight="1" x14ac:dyDescent="0.2"/>
    <row r="4072" ht="12.75" customHeight="1" x14ac:dyDescent="0.2"/>
    <row r="4073" ht="12.75" customHeight="1" x14ac:dyDescent="0.2"/>
    <row r="4074" ht="12.75" customHeight="1" x14ac:dyDescent="0.2"/>
    <row r="4075" ht="12.75" customHeight="1" x14ac:dyDescent="0.2"/>
    <row r="4076" ht="12.75" customHeight="1" x14ac:dyDescent="0.2"/>
    <row r="4077" ht="12.75" customHeight="1" x14ac:dyDescent="0.2"/>
    <row r="4078" ht="12.75" customHeight="1" x14ac:dyDescent="0.2"/>
    <row r="4079" ht="12.75" customHeight="1" x14ac:dyDescent="0.2"/>
    <row r="4080" ht="12.75" customHeight="1" x14ac:dyDescent="0.2"/>
    <row r="4081" ht="12.75" customHeight="1" x14ac:dyDescent="0.2"/>
    <row r="4082" ht="12.75" customHeight="1" x14ac:dyDescent="0.2"/>
    <row r="4083" ht="12.75" customHeight="1" x14ac:dyDescent="0.2"/>
    <row r="4084" ht="12.75" customHeight="1" x14ac:dyDescent="0.2"/>
    <row r="4085" ht="12.75" customHeight="1" x14ac:dyDescent="0.2"/>
    <row r="4086" ht="12.75" customHeight="1" x14ac:dyDescent="0.2"/>
    <row r="4087" ht="12.75" customHeight="1" x14ac:dyDescent="0.2"/>
    <row r="4088" ht="12.75" customHeight="1" x14ac:dyDescent="0.2"/>
    <row r="4089" ht="12.75" customHeight="1" x14ac:dyDescent="0.2"/>
    <row r="4090" ht="12.75" customHeight="1" x14ac:dyDescent="0.2"/>
    <row r="4091" ht="12.75" customHeight="1" x14ac:dyDescent="0.2"/>
    <row r="4092" ht="12.75" customHeight="1" x14ac:dyDescent="0.2"/>
    <row r="4093" ht="12.75" customHeight="1" x14ac:dyDescent="0.2"/>
    <row r="4094" ht="12.75" customHeight="1" x14ac:dyDescent="0.2"/>
    <row r="4095" ht="12.75" customHeight="1" x14ac:dyDescent="0.2"/>
    <row r="4096" ht="12.75" customHeight="1" x14ac:dyDescent="0.2"/>
    <row r="4097" ht="12.75" customHeight="1" x14ac:dyDescent="0.2"/>
    <row r="4098" ht="12.75" customHeight="1" x14ac:dyDescent="0.2"/>
    <row r="4099" ht="12.75" customHeight="1" x14ac:dyDescent="0.2"/>
    <row r="4100" ht="12.75" customHeight="1" x14ac:dyDescent="0.2"/>
    <row r="4101" ht="12.75" customHeight="1" x14ac:dyDescent="0.2"/>
    <row r="4102" ht="12.75" customHeight="1" x14ac:dyDescent="0.2"/>
    <row r="4103" ht="12.75" customHeight="1" x14ac:dyDescent="0.2"/>
    <row r="4104" ht="12.75" customHeight="1" x14ac:dyDescent="0.2"/>
    <row r="4105" ht="12.75" customHeight="1" x14ac:dyDescent="0.2"/>
    <row r="4106" ht="12.75" customHeight="1" x14ac:dyDescent="0.2"/>
    <row r="4107" ht="12.75" customHeight="1" x14ac:dyDescent="0.2"/>
    <row r="4108" ht="12.75" customHeight="1" x14ac:dyDescent="0.2"/>
    <row r="4109" ht="12.75" customHeight="1" x14ac:dyDescent="0.2"/>
    <row r="4110" ht="12.75" customHeight="1" x14ac:dyDescent="0.2"/>
    <row r="4111" ht="12.75" customHeight="1" x14ac:dyDescent="0.2"/>
    <row r="4112" ht="12.75" customHeight="1" x14ac:dyDescent="0.2"/>
    <row r="4113" ht="12.75" customHeight="1" x14ac:dyDescent="0.2"/>
    <row r="4114" ht="12.75" customHeight="1" x14ac:dyDescent="0.2"/>
    <row r="4115" ht="12.75" customHeight="1" x14ac:dyDescent="0.2"/>
    <row r="4116" ht="12.75" customHeight="1" x14ac:dyDescent="0.2"/>
    <row r="4117" ht="12.75" customHeight="1" x14ac:dyDescent="0.2"/>
    <row r="4118" ht="12.75" customHeight="1" x14ac:dyDescent="0.2"/>
    <row r="4119" ht="12.75" customHeight="1" x14ac:dyDescent="0.2"/>
    <row r="4120" ht="12.75" customHeight="1" x14ac:dyDescent="0.2"/>
    <row r="4121" ht="12.75" customHeight="1" x14ac:dyDescent="0.2"/>
    <row r="4122" ht="12.75" customHeight="1" x14ac:dyDescent="0.2"/>
    <row r="4123" ht="12.75" customHeight="1" x14ac:dyDescent="0.2"/>
    <row r="4124" ht="12.75" customHeight="1" x14ac:dyDescent="0.2"/>
    <row r="4125" ht="12.75" customHeight="1" x14ac:dyDescent="0.2"/>
    <row r="4126" ht="12.75" customHeight="1" x14ac:dyDescent="0.2"/>
    <row r="4127" ht="12.75" customHeight="1" x14ac:dyDescent="0.2"/>
    <row r="4128" ht="12.75" customHeight="1" x14ac:dyDescent="0.2"/>
    <row r="4129" ht="12.75" customHeight="1" x14ac:dyDescent="0.2"/>
    <row r="4130" ht="12.75" customHeight="1" x14ac:dyDescent="0.2"/>
    <row r="4131" ht="12.75" customHeight="1" x14ac:dyDescent="0.2"/>
    <row r="4132" ht="12.75" customHeight="1" x14ac:dyDescent="0.2"/>
    <row r="4133" ht="12.75" customHeight="1" x14ac:dyDescent="0.2"/>
    <row r="4134" ht="12.75" customHeight="1" x14ac:dyDescent="0.2"/>
    <row r="4135" ht="12.75" customHeight="1" x14ac:dyDescent="0.2"/>
    <row r="4136" ht="12.75" customHeight="1" x14ac:dyDescent="0.2"/>
    <row r="4137" ht="12.75" customHeight="1" x14ac:dyDescent="0.2"/>
    <row r="4138" ht="12.75" customHeight="1" x14ac:dyDescent="0.2"/>
    <row r="4139" ht="12.75" customHeight="1" x14ac:dyDescent="0.2"/>
    <row r="4140" ht="12.75" customHeight="1" x14ac:dyDescent="0.2"/>
    <row r="4141" ht="12.75" customHeight="1" x14ac:dyDescent="0.2"/>
    <row r="4142" ht="12.75" customHeight="1" x14ac:dyDescent="0.2"/>
    <row r="4143" ht="12.75" customHeight="1" x14ac:dyDescent="0.2"/>
    <row r="4144" ht="12.75" customHeight="1" x14ac:dyDescent="0.2"/>
    <row r="4145" ht="12.75" customHeight="1" x14ac:dyDescent="0.2"/>
    <row r="4146" ht="12.75" customHeight="1" x14ac:dyDescent="0.2"/>
    <row r="4147" ht="12.75" customHeight="1" x14ac:dyDescent="0.2"/>
    <row r="4148" ht="12.75" customHeight="1" x14ac:dyDescent="0.2"/>
    <row r="4149" ht="12.75" customHeight="1" x14ac:dyDescent="0.2"/>
    <row r="4150" ht="12.75" customHeight="1" x14ac:dyDescent="0.2"/>
    <row r="4151" ht="12.75" customHeight="1" x14ac:dyDescent="0.2"/>
    <row r="4152" ht="12.75" customHeight="1" x14ac:dyDescent="0.2"/>
    <row r="4153" ht="12.75" customHeight="1" x14ac:dyDescent="0.2"/>
    <row r="4154" ht="12.75" customHeight="1" x14ac:dyDescent="0.2"/>
    <row r="4155" ht="12.75" customHeight="1" x14ac:dyDescent="0.2"/>
    <row r="4156" ht="12.75" customHeight="1" x14ac:dyDescent="0.2"/>
    <row r="4157" ht="12.75" customHeight="1" x14ac:dyDescent="0.2"/>
    <row r="4158" ht="12.75" customHeight="1" x14ac:dyDescent="0.2"/>
    <row r="4159" ht="12.75" customHeight="1" x14ac:dyDescent="0.2"/>
    <row r="4160" ht="12.75" customHeight="1" x14ac:dyDescent="0.2"/>
    <row r="4161" ht="12.75" customHeight="1" x14ac:dyDescent="0.2"/>
    <row r="4162" ht="12.75" customHeight="1" x14ac:dyDescent="0.2"/>
    <row r="4163" ht="12.75" customHeight="1" x14ac:dyDescent="0.2"/>
    <row r="4164" ht="12.75" customHeight="1" x14ac:dyDescent="0.2"/>
    <row r="4165" ht="12.75" customHeight="1" x14ac:dyDescent="0.2"/>
    <row r="4166" ht="12.75" customHeight="1" x14ac:dyDescent="0.2"/>
    <row r="4167" ht="12.75" customHeight="1" x14ac:dyDescent="0.2"/>
    <row r="4168" ht="12.75" customHeight="1" x14ac:dyDescent="0.2"/>
    <row r="4169" ht="12.75" customHeight="1" x14ac:dyDescent="0.2"/>
    <row r="4170" ht="12.75" customHeight="1" x14ac:dyDescent="0.2"/>
    <row r="4171" ht="12.75" customHeight="1" x14ac:dyDescent="0.2"/>
    <row r="4172" ht="12.75" customHeight="1" x14ac:dyDescent="0.2"/>
    <row r="4173" ht="12.75" customHeight="1" x14ac:dyDescent="0.2"/>
    <row r="4174" ht="12.75" customHeight="1" x14ac:dyDescent="0.2"/>
    <row r="4175" ht="12.75" customHeight="1" x14ac:dyDescent="0.2"/>
    <row r="4176" ht="12.75" customHeight="1" x14ac:dyDescent="0.2"/>
    <row r="4177" ht="12.75" customHeight="1" x14ac:dyDescent="0.2"/>
    <row r="4178" ht="12.75" customHeight="1" x14ac:dyDescent="0.2"/>
    <row r="4179" ht="12.75" customHeight="1" x14ac:dyDescent="0.2"/>
    <row r="4180" ht="12.75" customHeight="1" x14ac:dyDescent="0.2"/>
    <row r="4181" ht="12.75" customHeight="1" x14ac:dyDescent="0.2"/>
    <row r="4182" ht="12.75" customHeight="1" x14ac:dyDescent="0.2"/>
    <row r="4183" ht="12.75" customHeight="1" x14ac:dyDescent="0.2"/>
    <row r="4184" ht="12.75" customHeight="1" x14ac:dyDescent="0.2"/>
    <row r="4185" ht="12.75" customHeight="1" x14ac:dyDescent="0.2"/>
    <row r="4186" ht="12.75" customHeight="1" x14ac:dyDescent="0.2"/>
    <row r="4187" ht="12.75" customHeight="1" x14ac:dyDescent="0.2"/>
    <row r="4188" ht="12.75" customHeight="1" x14ac:dyDescent="0.2"/>
    <row r="4189" ht="12.75" customHeight="1" x14ac:dyDescent="0.2"/>
    <row r="4190" ht="12.75" customHeight="1" x14ac:dyDescent="0.2"/>
    <row r="4191" ht="12.75" customHeight="1" x14ac:dyDescent="0.2"/>
    <row r="4192" ht="12.75" customHeight="1" x14ac:dyDescent="0.2"/>
    <row r="4193" ht="12.75" customHeight="1" x14ac:dyDescent="0.2"/>
    <row r="4194" ht="12.75" customHeight="1" x14ac:dyDescent="0.2"/>
    <row r="4195" ht="12.75" customHeight="1" x14ac:dyDescent="0.2"/>
    <row r="4196" ht="12.75" customHeight="1" x14ac:dyDescent="0.2"/>
    <row r="4197" ht="12.75" customHeight="1" x14ac:dyDescent="0.2"/>
    <row r="4198" ht="12.75" customHeight="1" x14ac:dyDescent="0.2"/>
    <row r="4199" ht="12.75" customHeight="1" x14ac:dyDescent="0.2"/>
    <row r="4200" ht="12.75" customHeight="1" x14ac:dyDescent="0.2"/>
    <row r="4201" ht="12.75" customHeight="1" x14ac:dyDescent="0.2"/>
    <row r="4202" ht="12.75" customHeight="1" x14ac:dyDescent="0.2"/>
    <row r="4203" ht="12.75" customHeight="1" x14ac:dyDescent="0.2"/>
    <row r="4204" ht="12.75" customHeight="1" x14ac:dyDescent="0.2"/>
    <row r="4205" ht="12.75" customHeight="1" x14ac:dyDescent="0.2"/>
    <row r="4206" ht="12.75" customHeight="1" x14ac:dyDescent="0.2"/>
    <row r="4207" ht="12.75" customHeight="1" x14ac:dyDescent="0.2"/>
    <row r="4208" ht="12.75" customHeight="1" x14ac:dyDescent="0.2"/>
    <row r="4209" ht="12.75" customHeight="1" x14ac:dyDescent="0.2"/>
    <row r="4210" ht="12.75" customHeight="1" x14ac:dyDescent="0.2"/>
    <row r="4211" ht="12.75" customHeight="1" x14ac:dyDescent="0.2"/>
    <row r="4212" ht="12.75" customHeight="1" x14ac:dyDescent="0.2"/>
    <row r="4213" ht="12.75" customHeight="1" x14ac:dyDescent="0.2"/>
    <row r="4214" ht="12.75" customHeight="1" x14ac:dyDescent="0.2"/>
    <row r="4215" ht="12.75" customHeight="1" x14ac:dyDescent="0.2"/>
    <row r="4216" ht="12.75" customHeight="1" x14ac:dyDescent="0.2"/>
    <row r="4217" ht="12.75" customHeight="1" x14ac:dyDescent="0.2"/>
    <row r="4218" ht="12.75" customHeight="1" x14ac:dyDescent="0.2"/>
    <row r="4219" ht="12.75" customHeight="1" x14ac:dyDescent="0.2"/>
    <row r="4220" ht="12.75" customHeight="1" x14ac:dyDescent="0.2"/>
    <row r="4221" ht="12.75" customHeight="1" x14ac:dyDescent="0.2"/>
    <row r="4222" ht="12.75" customHeight="1" x14ac:dyDescent="0.2"/>
    <row r="4223" ht="12.75" customHeight="1" x14ac:dyDescent="0.2"/>
    <row r="4224" ht="12.75" customHeight="1" x14ac:dyDescent="0.2"/>
    <row r="4225" ht="12.75" customHeight="1" x14ac:dyDescent="0.2"/>
    <row r="4226" ht="12.75" customHeight="1" x14ac:dyDescent="0.2"/>
    <row r="4227" ht="12.75" customHeight="1" x14ac:dyDescent="0.2"/>
    <row r="4228" ht="12.75" customHeight="1" x14ac:dyDescent="0.2"/>
    <row r="4229" ht="12.75" customHeight="1" x14ac:dyDescent="0.2"/>
    <row r="4230" ht="12.75" customHeight="1" x14ac:dyDescent="0.2"/>
    <row r="4231" ht="12.75" customHeight="1" x14ac:dyDescent="0.2"/>
    <row r="4232" ht="12.75" customHeight="1" x14ac:dyDescent="0.2"/>
    <row r="4233" ht="12.75" customHeight="1" x14ac:dyDescent="0.2"/>
    <row r="4234" ht="12.75" customHeight="1" x14ac:dyDescent="0.2"/>
    <row r="4235" ht="12.75" customHeight="1" x14ac:dyDescent="0.2"/>
    <row r="4236" ht="12.75" customHeight="1" x14ac:dyDescent="0.2"/>
    <row r="4237" ht="12.75" customHeight="1" x14ac:dyDescent="0.2"/>
    <row r="4238" ht="12.75" customHeight="1" x14ac:dyDescent="0.2"/>
    <row r="4239" ht="12.75" customHeight="1" x14ac:dyDescent="0.2"/>
    <row r="4240" ht="12.75" customHeight="1" x14ac:dyDescent="0.2"/>
    <row r="4241" ht="12.75" customHeight="1" x14ac:dyDescent="0.2"/>
    <row r="4242" ht="12.75" customHeight="1" x14ac:dyDescent="0.2"/>
    <row r="4243" ht="12.75" customHeight="1" x14ac:dyDescent="0.2"/>
    <row r="4244" ht="12.75" customHeight="1" x14ac:dyDescent="0.2"/>
    <row r="4245" ht="12.75" customHeight="1" x14ac:dyDescent="0.2"/>
    <row r="4246" ht="12.75" customHeight="1" x14ac:dyDescent="0.2"/>
    <row r="4247" ht="12.75" customHeight="1" x14ac:dyDescent="0.2"/>
    <row r="4248" ht="12.75" customHeight="1" x14ac:dyDescent="0.2"/>
    <row r="4249" ht="12.75" customHeight="1" x14ac:dyDescent="0.2"/>
    <row r="4250" ht="12.75" customHeight="1" x14ac:dyDescent="0.2"/>
    <row r="4251" ht="12.75" customHeight="1" x14ac:dyDescent="0.2"/>
    <row r="4252" ht="12.75" customHeight="1" x14ac:dyDescent="0.2"/>
    <row r="4253" ht="12.75" customHeight="1" x14ac:dyDescent="0.2"/>
    <row r="4254" ht="12.75" customHeight="1" x14ac:dyDescent="0.2"/>
    <row r="4255" ht="12.75" customHeight="1" x14ac:dyDescent="0.2"/>
    <row r="4256" ht="12.75" customHeight="1" x14ac:dyDescent="0.2"/>
    <row r="4257" ht="12.75" customHeight="1" x14ac:dyDescent="0.2"/>
    <row r="4258" ht="12.75" customHeight="1" x14ac:dyDescent="0.2"/>
    <row r="4259" ht="12.75" customHeight="1" x14ac:dyDescent="0.2"/>
    <row r="4260" ht="12.75" customHeight="1" x14ac:dyDescent="0.2"/>
    <row r="4261" ht="12.75" customHeight="1" x14ac:dyDescent="0.2"/>
    <row r="4262" ht="12.75" customHeight="1" x14ac:dyDescent="0.2"/>
    <row r="4263" ht="12.75" customHeight="1" x14ac:dyDescent="0.2"/>
    <row r="4264" ht="12.75" customHeight="1" x14ac:dyDescent="0.2"/>
    <row r="4265" ht="12.75" customHeight="1" x14ac:dyDescent="0.2"/>
    <row r="4266" ht="12.75" customHeight="1" x14ac:dyDescent="0.2"/>
    <row r="4267" ht="12.75" customHeight="1" x14ac:dyDescent="0.2"/>
    <row r="4268" ht="12.75" customHeight="1" x14ac:dyDescent="0.2"/>
    <row r="4269" ht="12.75" customHeight="1" x14ac:dyDescent="0.2"/>
    <row r="4270" ht="12.75" customHeight="1" x14ac:dyDescent="0.2"/>
    <row r="4271" ht="12.75" customHeight="1" x14ac:dyDescent="0.2"/>
    <row r="4272" ht="12.75" customHeight="1" x14ac:dyDescent="0.2"/>
    <row r="4273" ht="12.75" customHeight="1" x14ac:dyDescent="0.2"/>
    <row r="4274" ht="12.75" customHeight="1" x14ac:dyDescent="0.2"/>
    <row r="4275" ht="12.75" customHeight="1" x14ac:dyDescent="0.2"/>
    <row r="4276" ht="12.75" customHeight="1" x14ac:dyDescent="0.2"/>
    <row r="4277" ht="12.75" customHeight="1" x14ac:dyDescent="0.2"/>
    <row r="4278" ht="12.75" customHeight="1" x14ac:dyDescent="0.2"/>
    <row r="4279" ht="12.75" customHeight="1" x14ac:dyDescent="0.2"/>
    <row r="4280" ht="12.75" customHeight="1" x14ac:dyDescent="0.2"/>
    <row r="4281" ht="12.75" customHeight="1" x14ac:dyDescent="0.2"/>
    <row r="4282" ht="12.75" customHeight="1" x14ac:dyDescent="0.2"/>
    <row r="4283" ht="12.75" customHeight="1" x14ac:dyDescent="0.2"/>
    <row r="4284" ht="12.75" customHeight="1" x14ac:dyDescent="0.2"/>
    <row r="4285" ht="12.75" customHeight="1" x14ac:dyDescent="0.2"/>
    <row r="4286" ht="12.75" customHeight="1" x14ac:dyDescent="0.2"/>
    <row r="4287" ht="12.75" customHeight="1" x14ac:dyDescent="0.2"/>
    <row r="4288" ht="12.75" customHeight="1" x14ac:dyDescent="0.2"/>
    <row r="4289" ht="12.75" customHeight="1" x14ac:dyDescent="0.2"/>
    <row r="4290" ht="12.75" customHeight="1" x14ac:dyDescent="0.2"/>
    <row r="4291" ht="12.75" customHeight="1" x14ac:dyDescent="0.2"/>
    <row r="4292" ht="12.75" customHeight="1" x14ac:dyDescent="0.2"/>
    <row r="4293" ht="12.75" customHeight="1" x14ac:dyDescent="0.2"/>
    <row r="4294" ht="12.75" customHeight="1" x14ac:dyDescent="0.2"/>
    <row r="4295" ht="12.75" customHeight="1" x14ac:dyDescent="0.2"/>
    <row r="4296" ht="12.75" customHeight="1" x14ac:dyDescent="0.2"/>
    <row r="4297" ht="12.75" customHeight="1" x14ac:dyDescent="0.2"/>
    <row r="4298" ht="12.75" customHeight="1" x14ac:dyDescent="0.2"/>
    <row r="4299" ht="12.75" customHeight="1" x14ac:dyDescent="0.2"/>
    <row r="4300" ht="12.75" customHeight="1" x14ac:dyDescent="0.2"/>
    <row r="4301" ht="12.75" customHeight="1" x14ac:dyDescent="0.2"/>
    <row r="4302" ht="12.75" customHeight="1" x14ac:dyDescent="0.2"/>
    <row r="4303" ht="12.75" customHeight="1" x14ac:dyDescent="0.2"/>
    <row r="4304" ht="12.75" customHeight="1" x14ac:dyDescent="0.2"/>
    <row r="4305" ht="12.75" customHeight="1" x14ac:dyDescent="0.2"/>
    <row r="4306" ht="12.75" customHeight="1" x14ac:dyDescent="0.2"/>
    <row r="4307" ht="12.75" customHeight="1" x14ac:dyDescent="0.2"/>
    <row r="4308" ht="12.75" customHeight="1" x14ac:dyDescent="0.2"/>
    <row r="4309" ht="12.75" customHeight="1" x14ac:dyDescent="0.2"/>
    <row r="4310" ht="12.75" customHeight="1" x14ac:dyDescent="0.2"/>
    <row r="4311" ht="12.75" customHeight="1" x14ac:dyDescent="0.2"/>
    <row r="4312" ht="12.75" customHeight="1" x14ac:dyDescent="0.2"/>
    <row r="4313" ht="12.75" customHeight="1" x14ac:dyDescent="0.2"/>
    <row r="4314" ht="12.75" customHeight="1" x14ac:dyDescent="0.2"/>
    <row r="4315" ht="12.75" customHeight="1" x14ac:dyDescent="0.2"/>
    <row r="4316" ht="12.75" customHeight="1" x14ac:dyDescent="0.2"/>
    <row r="4317" ht="12.75" customHeight="1" x14ac:dyDescent="0.2"/>
    <row r="4318" ht="12.75" customHeight="1" x14ac:dyDescent="0.2"/>
    <row r="4319" ht="12.75" customHeight="1" x14ac:dyDescent="0.2"/>
    <row r="4320" ht="12.75" customHeight="1" x14ac:dyDescent="0.2"/>
    <row r="4321" ht="12.75" customHeight="1" x14ac:dyDescent="0.2"/>
    <row r="4322" ht="12.75" customHeight="1" x14ac:dyDescent="0.2"/>
    <row r="4323" ht="12.75" customHeight="1" x14ac:dyDescent="0.2"/>
    <row r="4324" ht="12.75" customHeight="1" x14ac:dyDescent="0.2"/>
    <row r="4325" ht="12.75" customHeight="1" x14ac:dyDescent="0.2"/>
    <row r="4326" ht="12.75" customHeight="1" x14ac:dyDescent="0.2"/>
    <row r="4327" ht="12.75" customHeight="1" x14ac:dyDescent="0.2"/>
    <row r="4328" ht="12.75" customHeight="1" x14ac:dyDescent="0.2"/>
    <row r="4329" ht="12.75" customHeight="1" x14ac:dyDescent="0.2"/>
    <row r="4330" ht="12.75" customHeight="1" x14ac:dyDescent="0.2"/>
    <row r="4331" ht="12.75" customHeight="1" x14ac:dyDescent="0.2"/>
    <row r="4332" ht="12.75" customHeight="1" x14ac:dyDescent="0.2"/>
    <row r="4333" ht="12.75" customHeight="1" x14ac:dyDescent="0.2"/>
    <row r="4334" ht="12.75" customHeight="1" x14ac:dyDescent="0.2"/>
    <row r="4335" ht="12.75" customHeight="1" x14ac:dyDescent="0.2"/>
    <row r="4336" ht="12.75" customHeight="1" x14ac:dyDescent="0.2"/>
    <row r="4337" ht="12.75" customHeight="1" x14ac:dyDescent="0.2"/>
    <row r="4338" ht="12.75" customHeight="1" x14ac:dyDescent="0.2"/>
    <row r="4339" ht="12.75" customHeight="1" x14ac:dyDescent="0.2"/>
    <row r="4340" ht="12.75" customHeight="1" x14ac:dyDescent="0.2"/>
    <row r="4341" ht="12.75" customHeight="1" x14ac:dyDescent="0.2"/>
    <row r="4342" ht="12.75" customHeight="1" x14ac:dyDescent="0.2"/>
    <row r="4343" ht="12.75" customHeight="1" x14ac:dyDescent="0.2"/>
    <row r="4344" ht="12.75" customHeight="1" x14ac:dyDescent="0.2"/>
    <row r="4345" ht="12.75" customHeight="1" x14ac:dyDescent="0.2"/>
    <row r="4346" ht="12.75" customHeight="1" x14ac:dyDescent="0.2"/>
    <row r="4347" ht="12.75" customHeight="1" x14ac:dyDescent="0.2"/>
    <row r="4348" ht="12.75" customHeight="1" x14ac:dyDescent="0.2"/>
    <row r="4349" ht="12.75" customHeight="1" x14ac:dyDescent="0.2"/>
    <row r="4350" ht="12.75" customHeight="1" x14ac:dyDescent="0.2"/>
    <row r="4351" ht="12.75" customHeight="1" x14ac:dyDescent="0.2"/>
    <row r="4352" ht="12.75" customHeight="1" x14ac:dyDescent="0.2"/>
    <row r="4353" ht="12.75" customHeight="1" x14ac:dyDescent="0.2"/>
    <row r="4354" ht="12.75" customHeight="1" x14ac:dyDescent="0.2"/>
    <row r="4355" ht="12.75" customHeight="1" x14ac:dyDescent="0.2"/>
    <row r="4356" ht="12.75" customHeight="1" x14ac:dyDescent="0.2"/>
    <row r="4357" ht="12.75" customHeight="1" x14ac:dyDescent="0.2"/>
    <row r="4358" ht="12.75" customHeight="1" x14ac:dyDescent="0.2"/>
    <row r="4359" ht="12.75" customHeight="1" x14ac:dyDescent="0.2"/>
    <row r="4360" ht="12.75" customHeight="1" x14ac:dyDescent="0.2"/>
    <row r="4361" ht="12.75" customHeight="1" x14ac:dyDescent="0.2"/>
    <row r="4362" ht="12.75" customHeight="1" x14ac:dyDescent="0.2"/>
    <row r="4363" ht="12.75" customHeight="1" x14ac:dyDescent="0.2"/>
    <row r="4364" ht="12.75" customHeight="1" x14ac:dyDescent="0.2"/>
    <row r="4365" ht="12.75" customHeight="1" x14ac:dyDescent="0.2"/>
    <row r="4366" ht="12.75" customHeight="1" x14ac:dyDescent="0.2"/>
    <row r="4367" ht="12.75" customHeight="1" x14ac:dyDescent="0.2"/>
    <row r="4368" ht="12.75" customHeight="1" x14ac:dyDescent="0.2"/>
    <row r="4369" ht="12.75" customHeight="1" x14ac:dyDescent="0.2"/>
    <row r="4370" ht="12.75" customHeight="1" x14ac:dyDescent="0.2"/>
    <row r="4371" ht="12.75" customHeight="1" x14ac:dyDescent="0.2"/>
    <row r="4372" ht="12.75" customHeight="1" x14ac:dyDescent="0.2"/>
    <row r="4373" ht="12.75" customHeight="1" x14ac:dyDescent="0.2"/>
    <row r="4374" ht="12.75" customHeight="1" x14ac:dyDescent="0.2"/>
    <row r="4375" ht="12.75" customHeight="1" x14ac:dyDescent="0.2"/>
    <row r="4376" ht="12.75" customHeight="1" x14ac:dyDescent="0.2"/>
    <row r="4377" ht="12.75" customHeight="1" x14ac:dyDescent="0.2"/>
    <row r="4378" ht="12.75" customHeight="1" x14ac:dyDescent="0.2"/>
    <row r="4379" ht="12.75" customHeight="1" x14ac:dyDescent="0.2"/>
    <row r="4380" ht="12.75" customHeight="1" x14ac:dyDescent="0.2"/>
    <row r="4381" ht="12.75" customHeight="1" x14ac:dyDescent="0.2"/>
    <row r="4382" ht="12.75" customHeight="1" x14ac:dyDescent="0.2"/>
    <row r="4383" ht="12.75" customHeight="1" x14ac:dyDescent="0.2"/>
    <row r="4384" ht="12.75" customHeight="1" x14ac:dyDescent="0.2"/>
    <row r="4385" ht="12.75" customHeight="1" x14ac:dyDescent="0.2"/>
    <row r="4386" ht="12.75" customHeight="1" x14ac:dyDescent="0.2"/>
    <row r="4387" ht="12.75" customHeight="1" x14ac:dyDescent="0.2"/>
    <row r="4388" ht="12.75" customHeight="1" x14ac:dyDescent="0.2"/>
    <row r="4389" ht="12.75" customHeight="1" x14ac:dyDescent="0.2"/>
    <row r="4390" ht="12.75" customHeight="1" x14ac:dyDescent="0.2"/>
    <row r="4391" ht="12.75" customHeight="1" x14ac:dyDescent="0.2"/>
    <row r="4392" ht="12.75" customHeight="1" x14ac:dyDescent="0.2"/>
    <row r="4393" ht="12.75" customHeight="1" x14ac:dyDescent="0.2"/>
    <row r="4394" ht="12.75" customHeight="1" x14ac:dyDescent="0.2"/>
    <row r="4395" ht="12.75" customHeight="1" x14ac:dyDescent="0.2"/>
    <row r="4396" ht="12.75" customHeight="1" x14ac:dyDescent="0.2"/>
    <row r="4397" ht="12.75" customHeight="1" x14ac:dyDescent="0.2"/>
    <row r="4398" ht="12.75" customHeight="1" x14ac:dyDescent="0.2"/>
    <row r="4399" ht="12.75" customHeight="1" x14ac:dyDescent="0.2"/>
    <row r="4400" ht="12.75" customHeight="1" x14ac:dyDescent="0.2"/>
    <row r="4401" ht="12.75" customHeight="1" x14ac:dyDescent="0.2"/>
    <row r="4402" ht="12.75" customHeight="1" x14ac:dyDescent="0.2"/>
    <row r="4403" ht="12.75" customHeight="1" x14ac:dyDescent="0.2"/>
    <row r="4404" ht="12.75" customHeight="1" x14ac:dyDescent="0.2"/>
    <row r="4405" ht="12.75" customHeight="1" x14ac:dyDescent="0.2"/>
    <row r="4406" ht="12.75" customHeight="1" x14ac:dyDescent="0.2"/>
    <row r="4407" ht="12.75" customHeight="1" x14ac:dyDescent="0.2"/>
    <row r="4408" ht="12.75" customHeight="1" x14ac:dyDescent="0.2"/>
    <row r="4409" ht="12.75" customHeight="1" x14ac:dyDescent="0.2"/>
    <row r="4410" ht="12.75" customHeight="1" x14ac:dyDescent="0.2"/>
    <row r="4411" ht="12.75" customHeight="1" x14ac:dyDescent="0.2"/>
    <row r="4412" ht="12.75" customHeight="1" x14ac:dyDescent="0.2"/>
    <row r="4413" ht="12.75" customHeight="1" x14ac:dyDescent="0.2"/>
    <row r="4414" ht="12.75" customHeight="1" x14ac:dyDescent="0.2"/>
    <row r="4415" ht="12.75" customHeight="1" x14ac:dyDescent="0.2"/>
    <row r="4416" ht="12.75" customHeight="1" x14ac:dyDescent="0.2"/>
    <row r="4417" ht="12.75" customHeight="1" x14ac:dyDescent="0.2"/>
    <row r="4418" ht="12.75" customHeight="1" x14ac:dyDescent="0.2"/>
    <row r="4419" ht="12.75" customHeight="1" x14ac:dyDescent="0.2"/>
    <row r="4420" ht="12.75" customHeight="1" x14ac:dyDescent="0.2"/>
    <row r="4421" ht="12.75" customHeight="1" x14ac:dyDescent="0.2"/>
    <row r="4422" ht="12.75" customHeight="1" x14ac:dyDescent="0.2"/>
    <row r="4423" ht="12.75" customHeight="1" x14ac:dyDescent="0.2"/>
    <row r="4424" ht="12.75" customHeight="1" x14ac:dyDescent="0.2"/>
    <row r="4425" ht="12.75" customHeight="1" x14ac:dyDescent="0.2"/>
    <row r="4426" ht="12.75" customHeight="1" x14ac:dyDescent="0.2"/>
    <row r="4427" ht="12.75" customHeight="1" x14ac:dyDescent="0.2"/>
    <row r="4428" ht="12.75" customHeight="1" x14ac:dyDescent="0.2"/>
    <row r="4429" ht="12.75" customHeight="1" x14ac:dyDescent="0.2"/>
    <row r="4430" ht="12.75" customHeight="1" x14ac:dyDescent="0.2"/>
    <row r="4431" ht="12.75" customHeight="1" x14ac:dyDescent="0.2"/>
    <row r="4432" ht="12.75" customHeight="1" x14ac:dyDescent="0.2"/>
    <row r="4433" ht="12.75" customHeight="1" x14ac:dyDescent="0.2"/>
    <row r="4434" ht="12.75" customHeight="1" x14ac:dyDescent="0.2"/>
    <row r="4435" ht="12.75" customHeight="1" x14ac:dyDescent="0.2"/>
    <row r="4436" ht="12.75" customHeight="1" x14ac:dyDescent="0.2"/>
    <row r="4437" ht="12.75" customHeight="1" x14ac:dyDescent="0.2"/>
    <row r="4438" ht="12.75" customHeight="1" x14ac:dyDescent="0.2"/>
    <row r="4439" ht="12.75" customHeight="1" x14ac:dyDescent="0.2"/>
    <row r="4440" ht="12.75" customHeight="1" x14ac:dyDescent="0.2"/>
    <row r="4441" ht="12.75" customHeight="1" x14ac:dyDescent="0.2"/>
    <row r="4442" ht="12.75" customHeight="1" x14ac:dyDescent="0.2"/>
    <row r="4443" ht="12.75" customHeight="1" x14ac:dyDescent="0.2"/>
    <row r="4444" ht="12.75" customHeight="1" x14ac:dyDescent="0.2"/>
    <row r="4445" ht="12.75" customHeight="1" x14ac:dyDescent="0.2"/>
    <row r="4446" ht="12.75" customHeight="1" x14ac:dyDescent="0.2"/>
    <row r="4447" ht="12.75" customHeight="1" x14ac:dyDescent="0.2"/>
    <row r="4448" ht="12.75" customHeight="1" x14ac:dyDescent="0.2"/>
    <row r="4449" ht="12.75" customHeight="1" x14ac:dyDescent="0.2"/>
    <row r="4450" ht="12.75" customHeight="1" x14ac:dyDescent="0.2"/>
    <row r="4451" ht="12.75" customHeight="1" x14ac:dyDescent="0.2"/>
    <row r="4452" ht="12.75" customHeight="1" x14ac:dyDescent="0.2"/>
    <row r="4453" ht="12.75" customHeight="1" x14ac:dyDescent="0.2"/>
    <row r="4454" ht="12.75" customHeight="1" x14ac:dyDescent="0.2"/>
    <row r="4455" ht="12.75" customHeight="1" x14ac:dyDescent="0.2"/>
    <row r="4456" ht="12.75" customHeight="1" x14ac:dyDescent="0.2"/>
    <row r="4457" ht="12.75" customHeight="1" x14ac:dyDescent="0.2"/>
    <row r="4458" ht="12.75" customHeight="1" x14ac:dyDescent="0.2"/>
    <row r="4459" ht="12.75" customHeight="1" x14ac:dyDescent="0.2"/>
    <row r="4460" ht="12.75" customHeight="1" x14ac:dyDescent="0.2"/>
    <row r="4461" ht="12.75" customHeight="1" x14ac:dyDescent="0.2"/>
    <row r="4462" ht="12.75" customHeight="1" x14ac:dyDescent="0.2"/>
    <row r="4463" ht="12.75" customHeight="1" x14ac:dyDescent="0.2"/>
    <row r="4464" ht="12.75" customHeight="1" x14ac:dyDescent="0.2"/>
    <row r="4465" ht="12.75" customHeight="1" x14ac:dyDescent="0.2"/>
    <row r="4466" ht="12.75" customHeight="1" x14ac:dyDescent="0.2"/>
    <row r="4467" ht="12.75" customHeight="1" x14ac:dyDescent="0.2"/>
    <row r="4468" ht="12.75" customHeight="1" x14ac:dyDescent="0.2"/>
    <row r="4469" ht="12.75" customHeight="1" x14ac:dyDescent="0.2"/>
    <row r="4470" ht="12.75" customHeight="1" x14ac:dyDescent="0.2"/>
    <row r="4471" ht="12.75" customHeight="1" x14ac:dyDescent="0.2"/>
    <row r="4472" ht="12.75" customHeight="1" x14ac:dyDescent="0.2"/>
    <row r="4473" ht="12.75" customHeight="1" x14ac:dyDescent="0.2"/>
    <row r="4474" ht="12.75" customHeight="1" x14ac:dyDescent="0.2"/>
    <row r="4475" ht="12.75" customHeight="1" x14ac:dyDescent="0.2"/>
    <row r="4476" ht="12.75" customHeight="1" x14ac:dyDescent="0.2"/>
    <row r="4477" ht="12.75" customHeight="1" x14ac:dyDescent="0.2"/>
    <row r="4478" ht="12.75" customHeight="1" x14ac:dyDescent="0.2"/>
    <row r="4479" ht="12.75" customHeight="1" x14ac:dyDescent="0.2"/>
    <row r="4480" ht="12.75" customHeight="1" x14ac:dyDescent="0.2"/>
    <row r="4481" ht="12.75" customHeight="1" x14ac:dyDescent="0.2"/>
    <row r="4482" ht="12.75" customHeight="1" x14ac:dyDescent="0.2"/>
    <row r="4483" ht="12.75" customHeight="1" x14ac:dyDescent="0.2"/>
    <row r="4484" ht="12.75" customHeight="1" x14ac:dyDescent="0.2"/>
    <row r="4485" ht="12.75" customHeight="1" x14ac:dyDescent="0.2"/>
    <row r="4486" ht="12.75" customHeight="1" x14ac:dyDescent="0.2"/>
    <row r="4487" ht="12.75" customHeight="1" x14ac:dyDescent="0.2"/>
    <row r="4488" ht="12.75" customHeight="1" x14ac:dyDescent="0.2"/>
    <row r="4489" ht="12.75" customHeight="1" x14ac:dyDescent="0.2"/>
    <row r="4490" ht="12.75" customHeight="1" x14ac:dyDescent="0.2"/>
    <row r="4491" ht="12.75" customHeight="1" x14ac:dyDescent="0.2"/>
    <row r="4492" ht="12.75" customHeight="1" x14ac:dyDescent="0.2"/>
    <row r="4493" ht="12.75" customHeight="1" x14ac:dyDescent="0.2"/>
    <row r="4494" ht="12.75" customHeight="1" x14ac:dyDescent="0.2"/>
    <row r="4495" ht="12.75" customHeight="1" x14ac:dyDescent="0.2"/>
    <row r="4496" ht="12.75" customHeight="1" x14ac:dyDescent="0.2"/>
    <row r="4497" ht="12.75" customHeight="1" x14ac:dyDescent="0.2"/>
    <row r="4498" ht="12.75" customHeight="1" x14ac:dyDescent="0.2"/>
    <row r="4499" ht="12.75" customHeight="1" x14ac:dyDescent="0.2"/>
    <row r="4500" ht="12.75" customHeight="1" x14ac:dyDescent="0.2"/>
    <row r="4501" ht="12.75" customHeight="1" x14ac:dyDescent="0.2"/>
    <row r="4502" ht="12.75" customHeight="1" x14ac:dyDescent="0.2"/>
    <row r="4503" ht="12.75" customHeight="1" x14ac:dyDescent="0.2"/>
    <row r="4504" ht="12.75" customHeight="1" x14ac:dyDescent="0.2"/>
    <row r="4505" ht="12.75" customHeight="1" x14ac:dyDescent="0.2"/>
    <row r="4506" ht="12.75" customHeight="1" x14ac:dyDescent="0.2"/>
    <row r="4507" ht="12.75" customHeight="1" x14ac:dyDescent="0.2"/>
    <row r="4508" ht="12.75" customHeight="1" x14ac:dyDescent="0.2"/>
    <row r="4509" ht="12.75" customHeight="1" x14ac:dyDescent="0.2"/>
    <row r="4510" ht="12.75" customHeight="1" x14ac:dyDescent="0.2"/>
    <row r="4511" ht="12.75" customHeight="1" x14ac:dyDescent="0.2"/>
    <row r="4512" ht="12.75" customHeight="1" x14ac:dyDescent="0.2"/>
    <row r="4513" ht="12.75" customHeight="1" x14ac:dyDescent="0.2"/>
    <row r="4514" ht="12.75" customHeight="1" x14ac:dyDescent="0.2"/>
    <row r="4515" ht="12.75" customHeight="1" x14ac:dyDescent="0.2"/>
    <row r="4516" ht="12.75" customHeight="1" x14ac:dyDescent="0.2"/>
    <row r="4517" ht="12.75" customHeight="1" x14ac:dyDescent="0.2"/>
    <row r="4518" ht="12.75" customHeight="1" x14ac:dyDescent="0.2"/>
    <row r="4519" ht="12.75" customHeight="1" x14ac:dyDescent="0.2"/>
    <row r="4520" ht="12.75" customHeight="1" x14ac:dyDescent="0.2"/>
    <row r="4521" ht="12.75" customHeight="1" x14ac:dyDescent="0.2"/>
    <row r="4522" ht="12.75" customHeight="1" x14ac:dyDescent="0.2"/>
    <row r="4523" ht="12.75" customHeight="1" x14ac:dyDescent="0.2"/>
    <row r="4524" ht="12.75" customHeight="1" x14ac:dyDescent="0.2"/>
    <row r="4525" ht="12.75" customHeight="1" x14ac:dyDescent="0.2"/>
    <row r="4526" ht="12.75" customHeight="1" x14ac:dyDescent="0.2"/>
    <row r="4527" ht="12.75" customHeight="1" x14ac:dyDescent="0.2"/>
    <row r="4528" ht="12.75" customHeight="1" x14ac:dyDescent="0.2"/>
    <row r="4529" ht="12.75" customHeight="1" x14ac:dyDescent="0.2"/>
    <row r="4530" ht="12.75" customHeight="1" x14ac:dyDescent="0.2"/>
    <row r="4531" ht="12.75" customHeight="1" x14ac:dyDescent="0.2"/>
    <row r="4532" ht="12.75" customHeight="1" x14ac:dyDescent="0.2"/>
    <row r="4533" ht="12.75" customHeight="1" x14ac:dyDescent="0.2"/>
    <row r="4534" ht="12.75" customHeight="1" x14ac:dyDescent="0.2"/>
    <row r="4535" ht="12.75" customHeight="1" x14ac:dyDescent="0.2"/>
    <row r="4536" ht="12.75" customHeight="1" x14ac:dyDescent="0.2"/>
    <row r="4537" ht="12.75" customHeight="1" x14ac:dyDescent="0.2"/>
    <row r="4538" ht="12.75" customHeight="1" x14ac:dyDescent="0.2"/>
    <row r="4539" ht="12.75" customHeight="1" x14ac:dyDescent="0.2"/>
    <row r="4540" ht="12.75" customHeight="1" x14ac:dyDescent="0.2"/>
    <row r="4541" ht="12.75" customHeight="1" x14ac:dyDescent="0.2"/>
    <row r="4542" ht="12.75" customHeight="1" x14ac:dyDescent="0.2"/>
    <row r="4543" ht="12.75" customHeight="1" x14ac:dyDescent="0.2"/>
    <row r="4544" ht="12.75" customHeight="1" x14ac:dyDescent="0.2"/>
    <row r="4545" ht="12.75" customHeight="1" x14ac:dyDescent="0.2"/>
    <row r="4546" ht="12.75" customHeight="1" x14ac:dyDescent="0.2"/>
    <row r="4547" ht="12.75" customHeight="1" x14ac:dyDescent="0.2"/>
    <row r="4548" ht="12.75" customHeight="1" x14ac:dyDescent="0.2"/>
    <row r="4549" ht="12.75" customHeight="1" x14ac:dyDescent="0.2"/>
    <row r="4550" ht="12.75" customHeight="1" x14ac:dyDescent="0.2"/>
    <row r="4551" ht="12.75" customHeight="1" x14ac:dyDescent="0.2"/>
    <row r="4552" ht="12.75" customHeight="1" x14ac:dyDescent="0.2"/>
    <row r="4553" ht="12.75" customHeight="1" x14ac:dyDescent="0.2"/>
    <row r="4554" ht="12.75" customHeight="1" x14ac:dyDescent="0.2"/>
    <row r="4555" ht="12.75" customHeight="1" x14ac:dyDescent="0.2"/>
    <row r="4556" ht="12.75" customHeight="1" x14ac:dyDescent="0.2"/>
    <row r="4557" ht="12.75" customHeight="1" x14ac:dyDescent="0.2"/>
    <row r="4558" ht="12.75" customHeight="1" x14ac:dyDescent="0.2"/>
    <row r="4559" ht="12.75" customHeight="1" x14ac:dyDescent="0.2"/>
    <row r="4560" ht="12.75" customHeight="1" x14ac:dyDescent="0.2"/>
    <row r="4561" ht="12.75" customHeight="1" x14ac:dyDescent="0.2"/>
    <row r="4562" ht="12.75" customHeight="1" x14ac:dyDescent="0.2"/>
    <row r="4563" ht="12.75" customHeight="1" x14ac:dyDescent="0.2"/>
    <row r="4564" ht="12.75" customHeight="1" x14ac:dyDescent="0.2"/>
    <row r="4565" ht="12.75" customHeight="1" x14ac:dyDescent="0.2"/>
    <row r="4566" ht="12.75" customHeight="1" x14ac:dyDescent="0.2"/>
    <row r="4567" ht="12.75" customHeight="1" x14ac:dyDescent="0.2"/>
    <row r="4568" ht="12.75" customHeight="1" x14ac:dyDescent="0.2"/>
    <row r="4569" ht="12.75" customHeight="1" x14ac:dyDescent="0.2"/>
    <row r="4570" ht="12.75" customHeight="1" x14ac:dyDescent="0.2"/>
    <row r="4571" ht="12.75" customHeight="1" x14ac:dyDescent="0.2"/>
    <row r="4572" ht="12.75" customHeight="1" x14ac:dyDescent="0.2"/>
    <row r="4573" ht="12.75" customHeight="1" x14ac:dyDescent="0.2"/>
    <row r="4574" ht="12.75" customHeight="1" x14ac:dyDescent="0.2"/>
    <row r="4575" ht="12.75" customHeight="1" x14ac:dyDescent="0.2"/>
    <row r="4576" ht="12.75" customHeight="1" x14ac:dyDescent="0.2"/>
    <row r="4577" ht="12.75" customHeight="1" x14ac:dyDescent="0.2"/>
    <row r="4578" ht="12.75" customHeight="1" x14ac:dyDescent="0.2"/>
    <row r="4579" ht="12.75" customHeight="1" x14ac:dyDescent="0.2"/>
    <row r="4580" ht="12.75" customHeight="1" x14ac:dyDescent="0.2"/>
    <row r="4581" ht="12.75" customHeight="1" x14ac:dyDescent="0.2"/>
    <row r="4582" ht="12.75" customHeight="1" x14ac:dyDescent="0.2"/>
    <row r="4583" ht="12.75" customHeight="1" x14ac:dyDescent="0.2"/>
    <row r="4584" ht="12.75" customHeight="1" x14ac:dyDescent="0.2"/>
    <row r="4585" ht="12.75" customHeight="1" x14ac:dyDescent="0.2"/>
    <row r="4586" ht="12.75" customHeight="1" x14ac:dyDescent="0.2"/>
    <row r="4587" ht="12.75" customHeight="1" x14ac:dyDescent="0.2"/>
    <row r="4588" ht="12.75" customHeight="1" x14ac:dyDescent="0.2"/>
    <row r="4589" ht="12.75" customHeight="1" x14ac:dyDescent="0.2"/>
    <row r="4590" ht="12.75" customHeight="1" x14ac:dyDescent="0.2"/>
    <row r="4591" ht="12.75" customHeight="1" x14ac:dyDescent="0.2"/>
    <row r="4592" ht="12.75" customHeight="1" x14ac:dyDescent="0.2"/>
    <row r="4593" ht="12.75" customHeight="1" x14ac:dyDescent="0.2"/>
    <row r="4594" ht="12.75" customHeight="1" x14ac:dyDescent="0.2"/>
    <row r="4595" ht="12.75" customHeight="1" x14ac:dyDescent="0.2"/>
    <row r="4596" ht="12.75" customHeight="1" x14ac:dyDescent="0.2"/>
    <row r="4597" ht="12.75" customHeight="1" x14ac:dyDescent="0.2"/>
    <row r="4598" ht="12.75" customHeight="1" x14ac:dyDescent="0.2"/>
    <row r="4599" ht="12.75" customHeight="1" x14ac:dyDescent="0.2"/>
    <row r="4600" ht="12.75" customHeight="1" x14ac:dyDescent="0.2"/>
    <row r="4601" ht="12.75" customHeight="1" x14ac:dyDescent="0.2"/>
    <row r="4602" ht="12.75" customHeight="1" x14ac:dyDescent="0.2"/>
    <row r="4603" ht="12.75" customHeight="1" x14ac:dyDescent="0.2"/>
    <row r="4604" ht="12.75" customHeight="1" x14ac:dyDescent="0.2"/>
    <row r="4605" ht="12.75" customHeight="1" x14ac:dyDescent="0.2"/>
    <row r="4606" ht="12.75" customHeight="1" x14ac:dyDescent="0.2"/>
    <row r="4607" ht="12.75" customHeight="1" x14ac:dyDescent="0.2"/>
    <row r="4608" ht="12.75" customHeight="1" x14ac:dyDescent="0.2"/>
    <row r="4609" ht="12.75" customHeight="1" x14ac:dyDescent="0.2"/>
    <row r="4610" ht="12.75" customHeight="1" x14ac:dyDescent="0.2"/>
    <row r="4611" ht="12.75" customHeight="1" x14ac:dyDescent="0.2"/>
    <row r="4612" ht="12.75" customHeight="1" x14ac:dyDescent="0.2"/>
    <row r="4613" ht="12.75" customHeight="1" x14ac:dyDescent="0.2"/>
    <row r="4614" ht="12.75" customHeight="1" x14ac:dyDescent="0.2"/>
    <row r="4615" ht="12.75" customHeight="1" x14ac:dyDescent="0.2"/>
    <row r="4616" ht="12.75" customHeight="1" x14ac:dyDescent="0.2"/>
    <row r="4617" ht="12.75" customHeight="1" x14ac:dyDescent="0.2"/>
    <row r="4618" ht="12.75" customHeight="1" x14ac:dyDescent="0.2"/>
    <row r="4619" ht="12.75" customHeight="1" x14ac:dyDescent="0.2"/>
    <row r="4620" ht="12.75" customHeight="1" x14ac:dyDescent="0.2"/>
    <row r="4621" ht="12.75" customHeight="1" x14ac:dyDescent="0.2"/>
    <row r="4622" ht="12.75" customHeight="1" x14ac:dyDescent="0.2"/>
    <row r="4623" ht="12.75" customHeight="1" x14ac:dyDescent="0.2"/>
    <row r="4624" ht="12.75" customHeight="1" x14ac:dyDescent="0.2"/>
    <row r="4625" ht="12.75" customHeight="1" x14ac:dyDescent="0.2"/>
    <row r="4626" ht="12.75" customHeight="1" x14ac:dyDescent="0.2"/>
    <row r="4627" ht="12.75" customHeight="1" x14ac:dyDescent="0.2"/>
    <row r="4628" ht="12.75" customHeight="1" x14ac:dyDescent="0.2"/>
    <row r="4629" ht="12.75" customHeight="1" x14ac:dyDescent="0.2"/>
    <row r="4630" ht="12.75" customHeight="1" x14ac:dyDescent="0.2"/>
    <row r="4631" ht="12.75" customHeight="1" x14ac:dyDescent="0.2"/>
    <row r="4632" ht="12.75" customHeight="1" x14ac:dyDescent="0.2"/>
    <row r="4633" ht="12.75" customHeight="1" x14ac:dyDescent="0.2"/>
    <row r="4634" ht="12.75" customHeight="1" x14ac:dyDescent="0.2"/>
    <row r="4635" ht="12.75" customHeight="1" x14ac:dyDescent="0.2"/>
    <row r="4636" ht="12.75" customHeight="1" x14ac:dyDescent="0.2"/>
    <row r="4637" ht="12.75" customHeight="1" x14ac:dyDescent="0.2"/>
    <row r="4638" ht="12.75" customHeight="1" x14ac:dyDescent="0.2"/>
    <row r="4639" ht="12.75" customHeight="1" x14ac:dyDescent="0.2"/>
    <row r="4640" ht="12.75" customHeight="1" x14ac:dyDescent="0.2"/>
    <row r="4641" ht="12.75" customHeight="1" x14ac:dyDescent="0.2"/>
    <row r="4642" ht="12.75" customHeight="1" x14ac:dyDescent="0.2"/>
    <row r="4643" ht="12.75" customHeight="1" x14ac:dyDescent="0.2"/>
    <row r="4644" ht="12.75" customHeight="1" x14ac:dyDescent="0.2"/>
    <row r="4645" ht="12.75" customHeight="1" x14ac:dyDescent="0.2"/>
    <row r="4646" ht="12.75" customHeight="1" x14ac:dyDescent="0.2"/>
    <row r="4647" ht="12.75" customHeight="1" x14ac:dyDescent="0.2"/>
    <row r="4648" ht="12.75" customHeight="1" x14ac:dyDescent="0.2"/>
    <row r="4649" ht="12.75" customHeight="1" x14ac:dyDescent="0.2"/>
    <row r="4650" ht="12.75" customHeight="1" x14ac:dyDescent="0.2"/>
    <row r="4651" ht="12.75" customHeight="1" x14ac:dyDescent="0.2"/>
    <row r="4652" ht="12.75" customHeight="1" x14ac:dyDescent="0.2"/>
    <row r="4653" ht="12.75" customHeight="1" x14ac:dyDescent="0.2"/>
    <row r="4654" ht="12.75" customHeight="1" x14ac:dyDescent="0.2"/>
    <row r="4655" ht="12.75" customHeight="1" x14ac:dyDescent="0.2"/>
    <row r="4656" ht="12.75" customHeight="1" x14ac:dyDescent="0.2"/>
    <row r="4657" ht="12.75" customHeight="1" x14ac:dyDescent="0.2"/>
    <row r="4658" ht="12.75" customHeight="1" x14ac:dyDescent="0.2"/>
    <row r="4659" ht="12.75" customHeight="1" x14ac:dyDescent="0.2"/>
    <row r="4660" ht="12.75" customHeight="1" x14ac:dyDescent="0.2"/>
    <row r="4661" ht="12.75" customHeight="1" x14ac:dyDescent="0.2"/>
    <row r="4662" ht="12.75" customHeight="1" x14ac:dyDescent="0.2"/>
    <row r="4663" ht="12.75" customHeight="1" x14ac:dyDescent="0.2"/>
    <row r="4664" ht="12.75" customHeight="1" x14ac:dyDescent="0.2"/>
    <row r="4665" ht="12.75" customHeight="1" x14ac:dyDescent="0.2"/>
    <row r="4666" ht="12.75" customHeight="1" x14ac:dyDescent="0.2"/>
    <row r="4667" ht="12.75" customHeight="1" x14ac:dyDescent="0.2"/>
    <row r="4668" ht="12.75" customHeight="1" x14ac:dyDescent="0.2"/>
    <row r="4669" ht="12.75" customHeight="1" x14ac:dyDescent="0.2"/>
    <row r="4670" ht="12.75" customHeight="1" x14ac:dyDescent="0.2"/>
    <row r="4671" ht="12.75" customHeight="1" x14ac:dyDescent="0.2"/>
    <row r="4672" ht="12.75" customHeight="1" x14ac:dyDescent="0.2"/>
    <row r="4673" ht="12.75" customHeight="1" x14ac:dyDescent="0.2"/>
    <row r="4674" ht="12.75" customHeight="1" x14ac:dyDescent="0.2"/>
    <row r="4675" ht="12.75" customHeight="1" x14ac:dyDescent="0.2"/>
    <row r="4676" ht="12.75" customHeight="1" x14ac:dyDescent="0.2"/>
    <row r="4677" ht="12.75" customHeight="1" x14ac:dyDescent="0.2"/>
    <row r="4678" ht="12.75" customHeight="1" x14ac:dyDescent="0.2"/>
    <row r="4679" ht="12.75" customHeight="1" x14ac:dyDescent="0.2"/>
    <row r="4680" ht="12.75" customHeight="1" x14ac:dyDescent="0.2"/>
    <row r="4681" ht="12.75" customHeight="1" x14ac:dyDescent="0.2"/>
    <row r="4682" ht="12.75" customHeight="1" x14ac:dyDescent="0.2"/>
    <row r="4683" ht="12.75" customHeight="1" x14ac:dyDescent="0.2"/>
    <row r="4684" ht="12.75" customHeight="1" x14ac:dyDescent="0.2"/>
    <row r="4685" ht="12.75" customHeight="1" x14ac:dyDescent="0.2"/>
    <row r="4686" ht="12.75" customHeight="1" x14ac:dyDescent="0.2"/>
    <row r="4687" ht="12.75" customHeight="1" x14ac:dyDescent="0.2"/>
    <row r="4688" ht="12.75" customHeight="1" x14ac:dyDescent="0.2"/>
    <row r="4689" ht="12.75" customHeight="1" x14ac:dyDescent="0.2"/>
    <row r="4690" ht="12.75" customHeight="1" x14ac:dyDescent="0.2"/>
    <row r="4691" ht="12.75" customHeight="1" x14ac:dyDescent="0.2"/>
    <row r="4692" ht="12.75" customHeight="1" x14ac:dyDescent="0.2"/>
    <row r="4693" ht="12.75" customHeight="1" x14ac:dyDescent="0.2"/>
    <row r="4694" ht="12.75" customHeight="1" x14ac:dyDescent="0.2"/>
    <row r="4695" ht="12.75" customHeight="1" x14ac:dyDescent="0.2"/>
    <row r="4696" ht="12.75" customHeight="1" x14ac:dyDescent="0.2"/>
    <row r="4697" ht="12.75" customHeight="1" x14ac:dyDescent="0.2"/>
    <row r="4698" ht="12.75" customHeight="1" x14ac:dyDescent="0.2"/>
    <row r="4699" ht="12.75" customHeight="1" x14ac:dyDescent="0.2"/>
    <row r="4700" ht="12.75" customHeight="1" x14ac:dyDescent="0.2"/>
    <row r="4701" ht="12.75" customHeight="1" x14ac:dyDescent="0.2"/>
    <row r="4702" ht="12.75" customHeight="1" x14ac:dyDescent="0.2"/>
    <row r="4703" ht="12.75" customHeight="1" x14ac:dyDescent="0.2"/>
    <row r="4704" ht="12.75" customHeight="1" x14ac:dyDescent="0.2"/>
    <row r="4705" ht="12.75" customHeight="1" x14ac:dyDescent="0.2"/>
    <row r="4706" ht="12.75" customHeight="1" x14ac:dyDescent="0.2"/>
    <row r="4707" ht="12.75" customHeight="1" x14ac:dyDescent="0.2"/>
    <row r="4708" ht="12.75" customHeight="1" x14ac:dyDescent="0.2"/>
    <row r="4709" ht="12.75" customHeight="1" x14ac:dyDescent="0.2"/>
    <row r="4710" ht="12.75" customHeight="1" x14ac:dyDescent="0.2"/>
    <row r="4711" ht="12.75" customHeight="1" x14ac:dyDescent="0.2"/>
    <row r="4712" ht="12.75" customHeight="1" x14ac:dyDescent="0.2"/>
    <row r="4713" ht="12.75" customHeight="1" x14ac:dyDescent="0.2"/>
    <row r="4714" ht="12.75" customHeight="1" x14ac:dyDescent="0.2"/>
    <row r="4715" ht="12.75" customHeight="1" x14ac:dyDescent="0.2"/>
    <row r="4716" ht="12.75" customHeight="1" x14ac:dyDescent="0.2"/>
    <row r="4717" ht="12.75" customHeight="1" x14ac:dyDescent="0.2"/>
    <row r="4718" ht="12.75" customHeight="1" x14ac:dyDescent="0.2"/>
    <row r="4719" ht="12.75" customHeight="1" x14ac:dyDescent="0.2"/>
    <row r="4720" ht="12.75" customHeight="1" x14ac:dyDescent="0.2"/>
    <row r="4721" ht="12.75" customHeight="1" x14ac:dyDescent="0.2"/>
    <row r="4722" ht="12.75" customHeight="1" x14ac:dyDescent="0.2"/>
    <row r="4723" ht="12.75" customHeight="1" x14ac:dyDescent="0.2"/>
    <row r="4724" ht="12.75" customHeight="1" x14ac:dyDescent="0.2"/>
    <row r="4725" ht="12.75" customHeight="1" x14ac:dyDescent="0.2"/>
    <row r="4726" ht="12.75" customHeight="1" x14ac:dyDescent="0.2"/>
    <row r="4727" ht="12.75" customHeight="1" x14ac:dyDescent="0.2"/>
    <row r="4728" ht="12.75" customHeight="1" x14ac:dyDescent="0.2"/>
    <row r="4729" ht="12.75" customHeight="1" x14ac:dyDescent="0.2"/>
    <row r="4730" ht="12.75" customHeight="1" x14ac:dyDescent="0.2"/>
    <row r="4731" ht="12.75" customHeight="1" x14ac:dyDescent="0.2"/>
    <row r="4732" ht="12.75" customHeight="1" x14ac:dyDescent="0.2"/>
    <row r="4733" ht="12.75" customHeight="1" x14ac:dyDescent="0.2"/>
    <row r="4734" ht="12.75" customHeight="1" x14ac:dyDescent="0.2"/>
    <row r="4735" ht="12.75" customHeight="1" x14ac:dyDescent="0.2"/>
    <row r="4736" ht="12.75" customHeight="1" x14ac:dyDescent="0.2"/>
    <row r="4737" ht="12.75" customHeight="1" x14ac:dyDescent="0.2"/>
    <row r="4738" ht="12.75" customHeight="1" x14ac:dyDescent="0.2"/>
    <row r="4739" ht="12.75" customHeight="1" x14ac:dyDescent="0.2"/>
    <row r="4740" ht="12.75" customHeight="1" x14ac:dyDescent="0.2"/>
    <row r="4741" ht="12.75" customHeight="1" x14ac:dyDescent="0.2"/>
    <row r="4742" ht="12.75" customHeight="1" x14ac:dyDescent="0.2"/>
    <row r="4743" ht="12.75" customHeight="1" x14ac:dyDescent="0.2"/>
    <row r="4744" ht="12.75" customHeight="1" x14ac:dyDescent="0.2"/>
    <row r="4745" ht="12.75" customHeight="1" x14ac:dyDescent="0.2"/>
    <row r="4746" ht="12.75" customHeight="1" x14ac:dyDescent="0.2"/>
    <row r="4747" ht="12.75" customHeight="1" x14ac:dyDescent="0.2"/>
    <row r="4748" ht="12.75" customHeight="1" x14ac:dyDescent="0.2"/>
    <row r="4749" ht="12.75" customHeight="1" x14ac:dyDescent="0.2"/>
    <row r="4750" ht="12.75" customHeight="1" x14ac:dyDescent="0.2"/>
    <row r="4751" ht="12.75" customHeight="1" x14ac:dyDescent="0.2"/>
    <row r="4752" ht="12.75" customHeight="1" x14ac:dyDescent="0.2"/>
    <row r="4753" ht="12.75" customHeight="1" x14ac:dyDescent="0.2"/>
    <row r="4754" ht="12.75" customHeight="1" x14ac:dyDescent="0.2"/>
    <row r="4755" ht="12.75" customHeight="1" x14ac:dyDescent="0.2"/>
    <row r="4756" ht="12.75" customHeight="1" x14ac:dyDescent="0.2"/>
    <row r="4757" ht="12.75" customHeight="1" x14ac:dyDescent="0.2"/>
    <row r="4758" ht="12.75" customHeight="1" x14ac:dyDescent="0.2"/>
    <row r="4759" ht="12.75" customHeight="1" x14ac:dyDescent="0.2"/>
    <row r="4760" ht="12.75" customHeight="1" x14ac:dyDescent="0.2"/>
    <row r="4761" ht="12.75" customHeight="1" x14ac:dyDescent="0.2"/>
    <row r="4762" ht="12.75" customHeight="1" x14ac:dyDescent="0.2"/>
    <row r="4763" ht="12.75" customHeight="1" x14ac:dyDescent="0.2"/>
    <row r="4764" ht="12.75" customHeight="1" x14ac:dyDescent="0.2"/>
    <row r="4765" ht="12.75" customHeight="1" x14ac:dyDescent="0.2"/>
    <row r="4766" ht="12.75" customHeight="1" x14ac:dyDescent="0.2"/>
    <row r="4767" ht="12.75" customHeight="1" x14ac:dyDescent="0.2"/>
    <row r="4768" ht="12.75" customHeight="1" x14ac:dyDescent="0.2"/>
    <row r="4769" ht="12.75" customHeight="1" x14ac:dyDescent="0.2"/>
    <row r="4770" ht="12.75" customHeight="1" x14ac:dyDescent="0.2"/>
    <row r="4771" ht="12.75" customHeight="1" x14ac:dyDescent="0.2"/>
    <row r="4772" ht="12.75" customHeight="1" x14ac:dyDescent="0.2"/>
    <row r="4773" ht="12.75" customHeight="1" x14ac:dyDescent="0.2"/>
    <row r="4774" ht="12.75" customHeight="1" x14ac:dyDescent="0.2"/>
    <row r="4775" ht="12.75" customHeight="1" x14ac:dyDescent="0.2"/>
    <row r="4776" ht="12.75" customHeight="1" x14ac:dyDescent="0.2"/>
    <row r="4777" ht="12.75" customHeight="1" x14ac:dyDescent="0.2"/>
    <row r="4778" ht="12.75" customHeight="1" x14ac:dyDescent="0.2"/>
    <row r="4779" ht="12.75" customHeight="1" x14ac:dyDescent="0.2"/>
    <row r="4780" ht="12.75" customHeight="1" x14ac:dyDescent="0.2"/>
    <row r="4781" ht="12.75" customHeight="1" x14ac:dyDescent="0.2"/>
    <row r="4782" ht="12.75" customHeight="1" x14ac:dyDescent="0.2"/>
    <row r="4783" ht="12.75" customHeight="1" x14ac:dyDescent="0.2"/>
    <row r="4784" ht="12.75" customHeight="1" x14ac:dyDescent="0.2"/>
    <row r="4785" ht="12.75" customHeight="1" x14ac:dyDescent="0.2"/>
    <row r="4786" ht="12.75" customHeight="1" x14ac:dyDescent="0.2"/>
    <row r="4787" ht="12.75" customHeight="1" x14ac:dyDescent="0.2"/>
    <row r="4788" ht="12.75" customHeight="1" x14ac:dyDescent="0.2"/>
    <row r="4789" ht="12.75" customHeight="1" x14ac:dyDescent="0.2"/>
    <row r="4790" ht="12.75" customHeight="1" x14ac:dyDescent="0.2"/>
    <row r="4791" ht="12.75" customHeight="1" x14ac:dyDescent="0.2"/>
    <row r="4792" ht="12.75" customHeight="1" x14ac:dyDescent="0.2"/>
    <row r="4793" ht="12.75" customHeight="1" x14ac:dyDescent="0.2"/>
    <row r="4794" ht="12.75" customHeight="1" x14ac:dyDescent="0.2"/>
    <row r="4795" ht="12.75" customHeight="1" x14ac:dyDescent="0.2"/>
    <row r="4796" ht="12.75" customHeight="1" x14ac:dyDescent="0.2"/>
    <row r="4797" ht="12.75" customHeight="1" x14ac:dyDescent="0.2"/>
    <row r="4798" ht="12.75" customHeight="1" x14ac:dyDescent="0.2"/>
    <row r="4799" ht="12.75" customHeight="1" x14ac:dyDescent="0.2"/>
    <row r="4800" ht="12.75" customHeight="1" x14ac:dyDescent="0.2"/>
    <row r="4801" ht="12.75" customHeight="1" x14ac:dyDescent="0.2"/>
    <row r="4802" ht="12.75" customHeight="1" x14ac:dyDescent="0.2"/>
    <row r="4803" ht="12.75" customHeight="1" x14ac:dyDescent="0.2"/>
    <row r="4804" ht="12.75" customHeight="1" x14ac:dyDescent="0.2"/>
    <row r="4805" ht="12.75" customHeight="1" x14ac:dyDescent="0.2"/>
    <row r="4806" ht="12.75" customHeight="1" x14ac:dyDescent="0.2"/>
    <row r="4807" ht="12.75" customHeight="1" x14ac:dyDescent="0.2"/>
    <row r="4808" ht="12.75" customHeight="1" x14ac:dyDescent="0.2"/>
    <row r="4809" ht="12.75" customHeight="1" x14ac:dyDescent="0.2"/>
    <row r="4810" ht="12.75" customHeight="1" x14ac:dyDescent="0.2"/>
    <row r="4811" ht="12.75" customHeight="1" x14ac:dyDescent="0.2"/>
    <row r="4812" ht="12.75" customHeight="1" x14ac:dyDescent="0.2"/>
    <row r="4813" ht="12.75" customHeight="1" x14ac:dyDescent="0.2"/>
    <row r="4814" ht="12.75" customHeight="1" x14ac:dyDescent="0.2"/>
    <row r="4815" ht="12.75" customHeight="1" x14ac:dyDescent="0.2"/>
    <row r="4816" ht="12.75" customHeight="1" x14ac:dyDescent="0.2"/>
    <row r="4817" ht="12.75" customHeight="1" x14ac:dyDescent="0.2"/>
    <row r="4818" ht="12.75" customHeight="1" x14ac:dyDescent="0.2"/>
    <row r="4819" ht="12.75" customHeight="1" x14ac:dyDescent="0.2"/>
    <row r="4820" ht="12.75" customHeight="1" x14ac:dyDescent="0.2"/>
    <row r="4821" ht="12.75" customHeight="1" x14ac:dyDescent="0.2"/>
    <row r="4822" ht="12.75" customHeight="1" x14ac:dyDescent="0.2"/>
    <row r="4823" ht="12.75" customHeight="1" x14ac:dyDescent="0.2"/>
    <row r="4824" ht="12.75" customHeight="1" x14ac:dyDescent="0.2"/>
    <row r="4825" ht="12.75" customHeight="1" x14ac:dyDescent="0.2"/>
    <row r="4826" ht="12.75" customHeight="1" x14ac:dyDescent="0.2"/>
    <row r="4827" ht="12.75" customHeight="1" x14ac:dyDescent="0.2"/>
    <row r="4828" ht="12.75" customHeight="1" x14ac:dyDescent="0.2"/>
    <row r="4829" ht="12.75" customHeight="1" x14ac:dyDescent="0.2"/>
    <row r="4830" ht="12.75" customHeight="1" x14ac:dyDescent="0.2"/>
    <row r="4831" ht="12.75" customHeight="1" x14ac:dyDescent="0.2"/>
    <row r="4832" ht="12.75" customHeight="1" x14ac:dyDescent="0.2"/>
    <row r="4833" ht="12.75" customHeight="1" x14ac:dyDescent="0.2"/>
    <row r="4834" ht="12.75" customHeight="1" x14ac:dyDescent="0.2"/>
    <row r="4835" ht="12.75" customHeight="1" x14ac:dyDescent="0.2"/>
    <row r="4836" ht="12.75" customHeight="1" x14ac:dyDescent="0.2"/>
    <row r="4837" ht="12.75" customHeight="1" x14ac:dyDescent="0.2"/>
    <row r="4838" ht="12.75" customHeight="1" x14ac:dyDescent="0.2"/>
    <row r="4839" ht="12.75" customHeight="1" x14ac:dyDescent="0.2"/>
    <row r="4840" ht="12.75" customHeight="1" x14ac:dyDescent="0.2"/>
    <row r="4841" ht="12.75" customHeight="1" x14ac:dyDescent="0.2"/>
    <row r="4842" ht="12.75" customHeight="1" x14ac:dyDescent="0.2"/>
    <row r="4843" ht="12.75" customHeight="1" x14ac:dyDescent="0.2"/>
    <row r="4844" ht="12.75" customHeight="1" x14ac:dyDescent="0.2"/>
    <row r="4845" ht="12.75" customHeight="1" x14ac:dyDescent="0.2"/>
    <row r="4846" ht="12.75" customHeight="1" x14ac:dyDescent="0.2"/>
    <row r="4847" ht="12.75" customHeight="1" x14ac:dyDescent="0.2"/>
    <row r="4848" ht="12.75" customHeight="1" x14ac:dyDescent="0.2"/>
    <row r="4849" ht="12.75" customHeight="1" x14ac:dyDescent="0.2"/>
    <row r="4850" ht="12.75" customHeight="1" x14ac:dyDescent="0.2"/>
    <row r="4851" ht="12.75" customHeight="1" x14ac:dyDescent="0.2"/>
    <row r="4852" ht="12.75" customHeight="1" x14ac:dyDescent="0.2"/>
    <row r="4853" ht="12.75" customHeight="1" x14ac:dyDescent="0.2"/>
    <row r="4854" ht="12.75" customHeight="1" x14ac:dyDescent="0.2"/>
    <row r="4855" ht="12.75" customHeight="1" x14ac:dyDescent="0.2"/>
    <row r="4856" ht="12.75" customHeight="1" x14ac:dyDescent="0.2"/>
    <row r="4857" ht="12.75" customHeight="1" x14ac:dyDescent="0.2"/>
    <row r="4858" ht="12.75" customHeight="1" x14ac:dyDescent="0.2"/>
    <row r="4859" ht="12.75" customHeight="1" x14ac:dyDescent="0.2"/>
    <row r="4860" ht="12.75" customHeight="1" x14ac:dyDescent="0.2"/>
    <row r="4861" ht="12.75" customHeight="1" x14ac:dyDescent="0.2"/>
    <row r="4862" ht="12.75" customHeight="1" x14ac:dyDescent="0.2"/>
    <row r="4863" ht="12.75" customHeight="1" x14ac:dyDescent="0.2"/>
    <row r="4864" ht="12.75" customHeight="1" x14ac:dyDescent="0.2"/>
    <row r="4865" ht="12.75" customHeight="1" x14ac:dyDescent="0.2"/>
    <row r="4866" ht="12.75" customHeight="1" x14ac:dyDescent="0.2"/>
    <row r="4867" ht="12.75" customHeight="1" x14ac:dyDescent="0.2"/>
    <row r="4868" ht="12.75" customHeight="1" x14ac:dyDescent="0.2"/>
    <row r="4869" ht="12.75" customHeight="1" x14ac:dyDescent="0.2"/>
    <row r="4870" ht="12.75" customHeight="1" x14ac:dyDescent="0.2"/>
    <row r="4871" ht="12.75" customHeight="1" x14ac:dyDescent="0.2"/>
    <row r="4872" ht="12.75" customHeight="1" x14ac:dyDescent="0.2"/>
    <row r="4873" ht="12.75" customHeight="1" x14ac:dyDescent="0.2"/>
    <row r="4874" ht="12.75" customHeight="1" x14ac:dyDescent="0.2"/>
    <row r="4875" ht="12.75" customHeight="1" x14ac:dyDescent="0.2"/>
    <row r="4876" ht="12.75" customHeight="1" x14ac:dyDescent="0.2"/>
    <row r="4877" ht="12.75" customHeight="1" x14ac:dyDescent="0.2"/>
    <row r="4878" ht="12.75" customHeight="1" x14ac:dyDescent="0.2"/>
    <row r="4879" ht="12.75" customHeight="1" x14ac:dyDescent="0.2"/>
    <row r="4880" ht="12.75" customHeight="1" x14ac:dyDescent="0.2"/>
    <row r="4881" ht="12.75" customHeight="1" x14ac:dyDescent="0.2"/>
    <row r="4882" ht="12.75" customHeight="1" x14ac:dyDescent="0.2"/>
    <row r="4883" ht="12.75" customHeight="1" x14ac:dyDescent="0.2"/>
    <row r="4884" ht="12.75" customHeight="1" x14ac:dyDescent="0.2"/>
    <row r="4885" ht="12.75" customHeight="1" x14ac:dyDescent="0.2"/>
    <row r="4886" ht="12.75" customHeight="1" x14ac:dyDescent="0.2"/>
    <row r="4887" ht="12.75" customHeight="1" x14ac:dyDescent="0.2"/>
    <row r="4888" ht="12.75" customHeight="1" x14ac:dyDescent="0.2"/>
    <row r="4889" ht="12.75" customHeight="1" x14ac:dyDescent="0.2"/>
    <row r="4890" ht="12.75" customHeight="1" x14ac:dyDescent="0.2"/>
    <row r="4891" ht="12.75" customHeight="1" x14ac:dyDescent="0.2"/>
    <row r="4892" ht="12.75" customHeight="1" x14ac:dyDescent="0.2"/>
    <row r="4893" ht="12.75" customHeight="1" x14ac:dyDescent="0.2"/>
    <row r="4894" ht="12.75" customHeight="1" x14ac:dyDescent="0.2"/>
    <row r="4895" ht="12.75" customHeight="1" x14ac:dyDescent="0.2"/>
    <row r="4896" ht="12.75" customHeight="1" x14ac:dyDescent="0.2"/>
    <row r="4897" ht="12.75" customHeight="1" x14ac:dyDescent="0.2"/>
    <row r="4898" ht="12.75" customHeight="1" x14ac:dyDescent="0.2"/>
    <row r="4899" ht="12.75" customHeight="1" x14ac:dyDescent="0.2"/>
    <row r="4900" ht="12.75" customHeight="1" x14ac:dyDescent="0.2"/>
    <row r="4901" ht="12.75" customHeight="1" x14ac:dyDescent="0.2"/>
    <row r="4902" ht="12.75" customHeight="1" x14ac:dyDescent="0.2"/>
    <row r="4903" ht="12.75" customHeight="1" x14ac:dyDescent="0.2"/>
    <row r="4904" ht="12.75" customHeight="1" x14ac:dyDescent="0.2"/>
    <row r="4905" ht="12.75" customHeight="1" x14ac:dyDescent="0.2"/>
    <row r="4906" ht="12.75" customHeight="1" x14ac:dyDescent="0.2"/>
    <row r="4907" ht="12.75" customHeight="1" x14ac:dyDescent="0.2"/>
    <row r="4908" ht="12.75" customHeight="1" x14ac:dyDescent="0.2"/>
    <row r="4909" ht="12.75" customHeight="1" x14ac:dyDescent="0.2"/>
    <row r="4910" ht="12.75" customHeight="1" x14ac:dyDescent="0.2"/>
    <row r="4911" ht="12.75" customHeight="1" x14ac:dyDescent="0.2"/>
    <row r="4912" ht="12.75" customHeight="1" x14ac:dyDescent="0.2"/>
    <row r="4913" ht="12.75" customHeight="1" x14ac:dyDescent="0.2"/>
    <row r="4914" ht="12.75" customHeight="1" x14ac:dyDescent="0.2"/>
    <row r="4915" ht="12.75" customHeight="1" x14ac:dyDescent="0.2"/>
    <row r="4916" ht="12.75" customHeight="1" x14ac:dyDescent="0.2"/>
    <row r="4917" ht="12.75" customHeight="1" x14ac:dyDescent="0.2"/>
    <row r="4918" ht="12.75" customHeight="1" x14ac:dyDescent="0.2"/>
    <row r="4919" ht="12.75" customHeight="1" x14ac:dyDescent="0.2"/>
    <row r="4920" ht="12.75" customHeight="1" x14ac:dyDescent="0.2"/>
    <row r="4921" ht="12.75" customHeight="1" x14ac:dyDescent="0.2"/>
    <row r="4922" ht="12.75" customHeight="1" x14ac:dyDescent="0.2"/>
    <row r="4923" ht="12.75" customHeight="1" x14ac:dyDescent="0.2"/>
    <row r="4924" ht="12.75" customHeight="1" x14ac:dyDescent="0.2"/>
    <row r="4925" ht="12.75" customHeight="1" x14ac:dyDescent="0.2"/>
    <row r="4926" ht="12.75" customHeight="1" x14ac:dyDescent="0.2"/>
    <row r="4927" ht="12.75" customHeight="1" x14ac:dyDescent="0.2"/>
    <row r="4928" ht="12.75" customHeight="1" x14ac:dyDescent="0.2"/>
    <row r="4929" ht="12.75" customHeight="1" x14ac:dyDescent="0.2"/>
    <row r="4930" ht="12.75" customHeight="1" x14ac:dyDescent="0.2"/>
    <row r="4931" ht="12.75" customHeight="1" x14ac:dyDescent="0.2"/>
    <row r="4932" ht="12.75" customHeight="1" x14ac:dyDescent="0.2"/>
    <row r="4933" ht="12.75" customHeight="1" x14ac:dyDescent="0.2"/>
    <row r="4934" ht="12.75" customHeight="1" x14ac:dyDescent="0.2"/>
    <row r="4935" ht="12.75" customHeight="1" x14ac:dyDescent="0.2"/>
    <row r="4936" ht="12.75" customHeight="1" x14ac:dyDescent="0.2"/>
    <row r="4937" ht="12.75" customHeight="1" x14ac:dyDescent="0.2"/>
    <row r="4938" ht="12.75" customHeight="1" x14ac:dyDescent="0.2"/>
    <row r="4939" ht="12.75" customHeight="1" x14ac:dyDescent="0.2"/>
    <row r="4940" ht="12.75" customHeight="1" x14ac:dyDescent="0.2"/>
    <row r="4941" ht="12.75" customHeight="1" x14ac:dyDescent="0.2"/>
    <row r="4942" ht="12.75" customHeight="1" x14ac:dyDescent="0.2"/>
    <row r="4943" ht="12.75" customHeight="1" x14ac:dyDescent="0.2"/>
    <row r="4944" ht="12.75" customHeight="1" x14ac:dyDescent="0.2"/>
    <row r="4945" ht="12.75" customHeight="1" x14ac:dyDescent="0.2"/>
    <row r="4946" ht="12.75" customHeight="1" x14ac:dyDescent="0.2"/>
    <row r="4947" ht="12.75" customHeight="1" x14ac:dyDescent="0.2"/>
    <row r="4948" ht="12.75" customHeight="1" x14ac:dyDescent="0.2"/>
    <row r="4949" ht="12.75" customHeight="1" x14ac:dyDescent="0.2"/>
    <row r="4950" ht="12.75" customHeight="1" x14ac:dyDescent="0.2"/>
    <row r="4951" ht="12.75" customHeight="1" x14ac:dyDescent="0.2"/>
    <row r="4952" ht="12.75" customHeight="1" x14ac:dyDescent="0.2"/>
    <row r="4953" ht="12.75" customHeight="1" x14ac:dyDescent="0.2"/>
    <row r="4954" ht="12.75" customHeight="1" x14ac:dyDescent="0.2"/>
    <row r="4955" ht="12.75" customHeight="1" x14ac:dyDescent="0.2"/>
    <row r="4956" ht="12.75" customHeight="1" x14ac:dyDescent="0.2"/>
    <row r="4957" ht="12.75" customHeight="1" x14ac:dyDescent="0.2"/>
    <row r="4958" ht="12.75" customHeight="1" x14ac:dyDescent="0.2"/>
    <row r="4959" ht="12.75" customHeight="1" x14ac:dyDescent="0.2"/>
    <row r="4960" ht="12.75" customHeight="1" x14ac:dyDescent="0.2"/>
    <row r="4961" ht="12.75" customHeight="1" x14ac:dyDescent="0.2"/>
    <row r="4962" ht="12.75" customHeight="1" x14ac:dyDescent="0.2"/>
    <row r="4963" ht="12.75" customHeight="1" x14ac:dyDescent="0.2"/>
    <row r="4964" ht="12.75" customHeight="1" x14ac:dyDescent="0.2"/>
    <row r="4965" ht="12.75" customHeight="1" x14ac:dyDescent="0.2"/>
    <row r="4966" ht="12.75" customHeight="1" x14ac:dyDescent="0.2"/>
    <row r="4967" ht="12.75" customHeight="1" x14ac:dyDescent="0.2"/>
    <row r="4968" ht="12.75" customHeight="1" x14ac:dyDescent="0.2"/>
    <row r="4969" ht="12.75" customHeight="1" x14ac:dyDescent="0.2"/>
    <row r="4970" ht="12.75" customHeight="1" x14ac:dyDescent="0.2"/>
    <row r="4971" ht="12.75" customHeight="1" x14ac:dyDescent="0.2"/>
    <row r="4972" ht="12.75" customHeight="1" x14ac:dyDescent="0.2"/>
    <row r="4973" ht="12.75" customHeight="1" x14ac:dyDescent="0.2"/>
    <row r="4974" ht="12.75" customHeight="1" x14ac:dyDescent="0.2"/>
    <row r="4975" ht="12.75" customHeight="1" x14ac:dyDescent="0.2"/>
    <row r="4976" ht="12.75" customHeight="1" x14ac:dyDescent="0.2"/>
    <row r="4977" ht="12.75" customHeight="1" x14ac:dyDescent="0.2"/>
    <row r="4978" ht="12.75" customHeight="1" x14ac:dyDescent="0.2"/>
    <row r="4979" ht="12.75" customHeight="1" x14ac:dyDescent="0.2"/>
    <row r="4980" ht="12.75" customHeight="1" x14ac:dyDescent="0.2"/>
    <row r="4981" ht="12.75" customHeight="1" x14ac:dyDescent="0.2"/>
    <row r="4982" ht="12.75" customHeight="1" x14ac:dyDescent="0.2"/>
    <row r="4983" ht="12.75" customHeight="1" x14ac:dyDescent="0.2"/>
    <row r="4984" ht="12.75" customHeight="1" x14ac:dyDescent="0.2"/>
    <row r="4985" ht="12.75" customHeight="1" x14ac:dyDescent="0.2"/>
    <row r="4986" ht="12.75" customHeight="1" x14ac:dyDescent="0.2"/>
    <row r="4987" ht="12.75" customHeight="1" x14ac:dyDescent="0.2"/>
    <row r="4988" ht="12.75" customHeight="1" x14ac:dyDescent="0.2"/>
    <row r="4989" ht="12.75" customHeight="1" x14ac:dyDescent="0.2"/>
    <row r="4990" ht="12.75" customHeight="1" x14ac:dyDescent="0.2"/>
    <row r="4991" ht="12.75" customHeight="1" x14ac:dyDescent="0.2"/>
    <row r="4992" ht="12.75" customHeight="1" x14ac:dyDescent="0.2"/>
    <row r="4993" ht="12.75" customHeight="1" x14ac:dyDescent="0.2"/>
    <row r="4994" ht="12.75" customHeight="1" x14ac:dyDescent="0.2"/>
    <row r="4995" ht="12.75" customHeight="1" x14ac:dyDescent="0.2"/>
    <row r="4996" ht="12.75" customHeight="1" x14ac:dyDescent="0.2"/>
    <row r="4997" ht="12.75" customHeight="1" x14ac:dyDescent="0.2"/>
    <row r="4998" ht="12.75" customHeight="1" x14ac:dyDescent="0.2"/>
    <row r="4999" ht="12.75" customHeight="1" x14ac:dyDescent="0.2"/>
    <row r="5000" ht="12.75" customHeight="1" x14ac:dyDescent="0.2"/>
    <row r="5001" ht="12.75" customHeight="1" x14ac:dyDescent="0.2"/>
    <row r="5002" ht="12.75" customHeight="1" x14ac:dyDescent="0.2"/>
    <row r="5003" ht="12.75" customHeight="1" x14ac:dyDescent="0.2"/>
    <row r="5004" ht="12.75" customHeight="1" x14ac:dyDescent="0.2"/>
    <row r="5005" ht="12.75" customHeight="1" x14ac:dyDescent="0.2"/>
    <row r="5006" ht="12.75" customHeight="1" x14ac:dyDescent="0.2"/>
    <row r="5007" ht="12.75" customHeight="1" x14ac:dyDescent="0.2"/>
    <row r="5008" ht="12.75" customHeight="1" x14ac:dyDescent="0.2"/>
    <row r="5009" ht="12.75" customHeight="1" x14ac:dyDescent="0.2"/>
    <row r="5010" ht="12.75" customHeight="1" x14ac:dyDescent="0.2"/>
    <row r="5011" ht="12.75" customHeight="1" x14ac:dyDescent="0.2"/>
    <row r="5012" ht="12.75" customHeight="1" x14ac:dyDescent="0.2"/>
    <row r="5013" ht="12.75" customHeight="1" x14ac:dyDescent="0.2"/>
    <row r="5014" ht="12.75" customHeight="1" x14ac:dyDescent="0.2"/>
    <row r="5015" ht="12.75" customHeight="1" x14ac:dyDescent="0.2"/>
    <row r="5016" ht="12.75" customHeight="1" x14ac:dyDescent="0.2"/>
    <row r="5017" ht="12.75" customHeight="1" x14ac:dyDescent="0.2"/>
    <row r="5018" ht="12.75" customHeight="1" x14ac:dyDescent="0.2"/>
    <row r="5019" ht="12.75" customHeight="1" x14ac:dyDescent="0.2"/>
    <row r="5020" ht="12.75" customHeight="1" x14ac:dyDescent="0.2"/>
    <row r="5021" ht="12.75" customHeight="1" x14ac:dyDescent="0.2"/>
    <row r="5022" ht="12.75" customHeight="1" x14ac:dyDescent="0.2"/>
    <row r="5023" ht="12.75" customHeight="1" x14ac:dyDescent="0.2"/>
    <row r="5024" ht="12.75" customHeight="1" x14ac:dyDescent="0.2"/>
    <row r="5025" ht="12.75" customHeight="1" x14ac:dyDescent="0.2"/>
    <row r="5026" ht="12.75" customHeight="1" x14ac:dyDescent="0.2"/>
    <row r="5027" ht="12.75" customHeight="1" x14ac:dyDescent="0.2"/>
    <row r="5028" ht="12.75" customHeight="1" x14ac:dyDescent="0.2"/>
    <row r="5029" ht="12.75" customHeight="1" x14ac:dyDescent="0.2"/>
    <row r="5030" ht="12.75" customHeight="1" x14ac:dyDescent="0.2"/>
    <row r="5031" ht="12.75" customHeight="1" x14ac:dyDescent="0.2"/>
    <row r="5032" ht="12.75" customHeight="1" x14ac:dyDescent="0.2"/>
    <row r="5033" ht="12.75" customHeight="1" x14ac:dyDescent="0.2"/>
    <row r="5034" ht="12.75" customHeight="1" x14ac:dyDescent="0.2"/>
    <row r="5035" ht="12.75" customHeight="1" x14ac:dyDescent="0.2"/>
    <row r="5036" ht="12.75" customHeight="1" x14ac:dyDescent="0.2"/>
    <row r="5037" ht="12.75" customHeight="1" x14ac:dyDescent="0.2"/>
    <row r="5038" ht="12.75" customHeight="1" x14ac:dyDescent="0.2"/>
    <row r="5039" ht="12.75" customHeight="1" x14ac:dyDescent="0.2"/>
    <row r="5040" ht="12.75" customHeight="1" x14ac:dyDescent="0.2"/>
    <row r="5041" ht="12.75" customHeight="1" x14ac:dyDescent="0.2"/>
    <row r="5042" ht="12.75" customHeight="1" x14ac:dyDescent="0.2"/>
    <row r="5043" ht="12.75" customHeight="1" x14ac:dyDescent="0.2"/>
    <row r="5044" ht="12.75" customHeight="1" x14ac:dyDescent="0.2"/>
    <row r="5045" ht="12.75" customHeight="1" x14ac:dyDescent="0.2"/>
    <row r="5046" ht="12.75" customHeight="1" x14ac:dyDescent="0.2"/>
    <row r="5047" ht="12.75" customHeight="1" x14ac:dyDescent="0.2"/>
    <row r="5048" ht="12.75" customHeight="1" x14ac:dyDescent="0.2"/>
    <row r="5049" ht="12.75" customHeight="1" x14ac:dyDescent="0.2"/>
    <row r="5050" ht="12.75" customHeight="1" x14ac:dyDescent="0.2"/>
    <row r="5051" ht="12.75" customHeight="1" x14ac:dyDescent="0.2"/>
    <row r="5052" ht="12.75" customHeight="1" x14ac:dyDescent="0.2"/>
    <row r="5053" ht="12.75" customHeight="1" x14ac:dyDescent="0.2"/>
    <row r="5054" ht="12.75" customHeight="1" x14ac:dyDescent="0.2"/>
    <row r="5055" ht="12.75" customHeight="1" x14ac:dyDescent="0.2"/>
    <row r="5056" ht="12.75" customHeight="1" x14ac:dyDescent="0.2"/>
    <row r="5057" ht="12.75" customHeight="1" x14ac:dyDescent="0.2"/>
    <row r="5058" ht="12.75" customHeight="1" x14ac:dyDescent="0.2"/>
    <row r="5059" ht="12.75" customHeight="1" x14ac:dyDescent="0.2"/>
    <row r="5060" ht="12.75" customHeight="1" x14ac:dyDescent="0.2"/>
    <row r="5061" ht="12.75" customHeight="1" x14ac:dyDescent="0.2"/>
    <row r="5062" ht="12.75" customHeight="1" x14ac:dyDescent="0.2"/>
    <row r="5063" ht="12.75" customHeight="1" x14ac:dyDescent="0.2"/>
    <row r="5064" ht="12.75" customHeight="1" x14ac:dyDescent="0.2"/>
    <row r="5065" ht="12.75" customHeight="1" x14ac:dyDescent="0.2"/>
    <row r="5066" ht="12.75" customHeight="1" x14ac:dyDescent="0.2"/>
    <row r="5067" ht="12.75" customHeight="1" x14ac:dyDescent="0.2"/>
    <row r="5068" ht="12.75" customHeight="1" x14ac:dyDescent="0.2"/>
    <row r="5069" ht="12.75" customHeight="1" x14ac:dyDescent="0.2"/>
    <row r="5070" ht="12.75" customHeight="1" x14ac:dyDescent="0.2"/>
    <row r="5071" ht="12.75" customHeight="1" x14ac:dyDescent="0.2"/>
    <row r="5072" ht="12.75" customHeight="1" x14ac:dyDescent="0.2"/>
    <row r="5073" ht="12.75" customHeight="1" x14ac:dyDescent="0.2"/>
    <row r="5074" ht="12.75" customHeight="1" x14ac:dyDescent="0.2"/>
    <row r="5075" ht="12.75" customHeight="1" x14ac:dyDescent="0.2"/>
    <row r="5076" ht="12.75" customHeight="1" x14ac:dyDescent="0.2"/>
    <row r="5077" ht="12.75" customHeight="1" x14ac:dyDescent="0.2"/>
    <row r="5078" ht="12.75" customHeight="1" x14ac:dyDescent="0.2"/>
    <row r="5079" ht="12.75" customHeight="1" x14ac:dyDescent="0.2"/>
    <row r="5080" ht="12.75" customHeight="1" x14ac:dyDescent="0.2"/>
    <row r="5081" ht="12.75" customHeight="1" x14ac:dyDescent="0.2"/>
    <row r="5082" ht="12.75" customHeight="1" x14ac:dyDescent="0.2"/>
    <row r="5083" ht="12.75" customHeight="1" x14ac:dyDescent="0.2"/>
    <row r="5084" ht="12.75" customHeight="1" x14ac:dyDescent="0.2"/>
    <row r="5085" ht="12.75" customHeight="1" x14ac:dyDescent="0.2"/>
    <row r="5086" ht="12.75" customHeight="1" x14ac:dyDescent="0.2"/>
    <row r="5087" ht="12.75" customHeight="1" x14ac:dyDescent="0.2"/>
    <row r="5088" ht="12.75" customHeight="1" x14ac:dyDescent="0.2"/>
    <row r="5089" ht="12.75" customHeight="1" x14ac:dyDescent="0.2"/>
    <row r="5090" ht="12.75" customHeight="1" x14ac:dyDescent="0.2"/>
    <row r="5091" ht="12.75" customHeight="1" x14ac:dyDescent="0.2"/>
    <row r="5092" ht="12.75" customHeight="1" x14ac:dyDescent="0.2"/>
    <row r="5093" ht="12.75" customHeight="1" x14ac:dyDescent="0.2"/>
    <row r="5094" ht="12.75" customHeight="1" x14ac:dyDescent="0.2"/>
    <row r="5095" ht="12.75" customHeight="1" x14ac:dyDescent="0.2"/>
    <row r="5096" ht="12.75" customHeight="1" x14ac:dyDescent="0.2"/>
    <row r="5097" ht="12.75" customHeight="1" x14ac:dyDescent="0.2"/>
    <row r="5098" ht="12.75" customHeight="1" x14ac:dyDescent="0.2"/>
    <row r="5099" ht="12.75" customHeight="1" x14ac:dyDescent="0.2"/>
    <row r="5100" ht="12.75" customHeight="1" x14ac:dyDescent="0.2"/>
    <row r="5101" ht="12.75" customHeight="1" x14ac:dyDescent="0.2"/>
    <row r="5102" ht="12.75" customHeight="1" x14ac:dyDescent="0.2"/>
    <row r="5103" ht="12.75" customHeight="1" x14ac:dyDescent="0.2"/>
    <row r="5104" ht="12.75" customHeight="1" x14ac:dyDescent="0.2"/>
    <row r="5105" ht="12.75" customHeight="1" x14ac:dyDescent="0.2"/>
    <row r="5106" ht="12.75" customHeight="1" x14ac:dyDescent="0.2"/>
    <row r="5107" ht="12.75" customHeight="1" x14ac:dyDescent="0.2"/>
    <row r="5108" ht="12.75" customHeight="1" x14ac:dyDescent="0.2"/>
    <row r="5109" ht="12.75" customHeight="1" x14ac:dyDescent="0.2"/>
    <row r="5110" ht="12.75" customHeight="1" x14ac:dyDescent="0.2"/>
    <row r="5111" ht="12.75" customHeight="1" x14ac:dyDescent="0.2"/>
    <row r="5112" ht="12.75" customHeight="1" x14ac:dyDescent="0.2"/>
    <row r="5113" ht="12.75" customHeight="1" x14ac:dyDescent="0.2"/>
    <row r="5114" ht="12.75" customHeight="1" x14ac:dyDescent="0.2"/>
    <row r="5115" ht="12.75" customHeight="1" x14ac:dyDescent="0.2"/>
    <row r="5116" ht="12.75" customHeight="1" x14ac:dyDescent="0.2"/>
    <row r="5117" ht="12.75" customHeight="1" x14ac:dyDescent="0.2"/>
    <row r="5118" ht="12.75" customHeight="1" x14ac:dyDescent="0.2"/>
    <row r="5119" ht="12.75" customHeight="1" x14ac:dyDescent="0.2"/>
    <row r="5120" ht="12.75" customHeight="1" x14ac:dyDescent="0.2"/>
    <row r="5121" ht="12.75" customHeight="1" x14ac:dyDescent="0.2"/>
    <row r="5122" ht="12.75" customHeight="1" x14ac:dyDescent="0.2"/>
    <row r="5123" ht="12.75" customHeight="1" x14ac:dyDescent="0.2"/>
    <row r="5124" ht="12.75" customHeight="1" x14ac:dyDescent="0.2"/>
    <row r="5125" ht="12.75" customHeight="1" x14ac:dyDescent="0.2"/>
    <row r="5126" ht="12.75" customHeight="1" x14ac:dyDescent="0.2"/>
    <row r="5127" ht="12.75" customHeight="1" x14ac:dyDescent="0.2"/>
    <row r="5128" ht="12.75" customHeight="1" x14ac:dyDescent="0.2"/>
    <row r="5129" ht="12.75" customHeight="1" x14ac:dyDescent="0.2"/>
    <row r="5130" ht="12.75" customHeight="1" x14ac:dyDescent="0.2"/>
    <row r="5131" ht="12.75" customHeight="1" x14ac:dyDescent="0.2"/>
    <row r="5132" ht="12.75" customHeight="1" x14ac:dyDescent="0.2"/>
    <row r="5133" ht="12.75" customHeight="1" x14ac:dyDescent="0.2"/>
    <row r="5134" ht="12.75" customHeight="1" x14ac:dyDescent="0.2"/>
    <row r="5135" ht="12.75" customHeight="1" x14ac:dyDescent="0.2"/>
    <row r="5136" ht="12.75" customHeight="1" x14ac:dyDescent="0.2"/>
    <row r="5137" ht="12.75" customHeight="1" x14ac:dyDescent="0.2"/>
    <row r="5138" ht="12.75" customHeight="1" x14ac:dyDescent="0.2"/>
    <row r="5139" ht="12.75" customHeight="1" x14ac:dyDescent="0.2"/>
    <row r="5140" ht="12.75" customHeight="1" x14ac:dyDescent="0.2"/>
    <row r="5141" ht="12.75" customHeight="1" x14ac:dyDescent="0.2"/>
    <row r="5142" ht="12.75" customHeight="1" x14ac:dyDescent="0.2"/>
    <row r="5143" ht="12.75" customHeight="1" x14ac:dyDescent="0.2"/>
    <row r="5144" ht="12.75" customHeight="1" x14ac:dyDescent="0.2"/>
    <row r="5145" ht="12.75" customHeight="1" x14ac:dyDescent="0.2"/>
    <row r="5146" ht="12.75" customHeight="1" x14ac:dyDescent="0.2"/>
    <row r="5147" ht="12.75" customHeight="1" x14ac:dyDescent="0.2"/>
    <row r="5148" ht="12.75" customHeight="1" x14ac:dyDescent="0.2"/>
    <row r="5149" ht="12.75" customHeight="1" x14ac:dyDescent="0.2"/>
    <row r="5150" ht="12.75" customHeight="1" x14ac:dyDescent="0.2"/>
    <row r="5151" ht="12.75" customHeight="1" x14ac:dyDescent="0.2"/>
    <row r="5152" ht="12.75" customHeight="1" x14ac:dyDescent="0.2"/>
    <row r="5153" ht="12.75" customHeight="1" x14ac:dyDescent="0.2"/>
    <row r="5154" ht="12.75" customHeight="1" x14ac:dyDescent="0.2"/>
    <row r="5155" ht="12.75" customHeight="1" x14ac:dyDescent="0.2"/>
    <row r="5156" ht="12.75" customHeight="1" x14ac:dyDescent="0.2"/>
    <row r="5157" ht="12.75" customHeight="1" x14ac:dyDescent="0.2"/>
    <row r="5158" ht="12.75" customHeight="1" x14ac:dyDescent="0.2"/>
    <row r="5159" ht="12.75" customHeight="1" x14ac:dyDescent="0.2"/>
    <row r="5160" ht="12.75" customHeight="1" x14ac:dyDescent="0.2"/>
    <row r="5161" ht="12.75" customHeight="1" x14ac:dyDescent="0.2"/>
    <row r="5162" ht="12.75" customHeight="1" x14ac:dyDescent="0.2"/>
    <row r="5163" ht="12.75" customHeight="1" x14ac:dyDescent="0.2"/>
    <row r="5164" ht="12.75" customHeight="1" x14ac:dyDescent="0.2"/>
    <row r="5165" ht="12.75" customHeight="1" x14ac:dyDescent="0.2"/>
    <row r="5166" ht="12.75" customHeight="1" x14ac:dyDescent="0.2"/>
    <row r="5167" ht="12.75" customHeight="1" x14ac:dyDescent="0.2"/>
    <row r="5168" ht="12.75" customHeight="1" x14ac:dyDescent="0.2"/>
    <row r="5169" ht="12.75" customHeight="1" x14ac:dyDescent="0.2"/>
    <row r="5170" ht="12.75" customHeight="1" x14ac:dyDescent="0.2"/>
    <row r="5171" ht="12.75" customHeight="1" x14ac:dyDescent="0.2"/>
    <row r="5172" ht="12.75" customHeight="1" x14ac:dyDescent="0.2"/>
    <row r="5173" ht="12.75" customHeight="1" x14ac:dyDescent="0.2"/>
    <row r="5174" ht="12.75" customHeight="1" x14ac:dyDescent="0.2"/>
    <row r="5175" ht="12.75" customHeight="1" x14ac:dyDescent="0.2"/>
    <row r="5176" ht="12.75" customHeight="1" x14ac:dyDescent="0.2"/>
    <row r="5177" ht="12.75" customHeight="1" x14ac:dyDescent="0.2"/>
    <row r="5178" ht="12.75" customHeight="1" x14ac:dyDescent="0.2"/>
    <row r="5179" ht="12.75" customHeight="1" x14ac:dyDescent="0.2"/>
    <row r="5180" ht="12.75" customHeight="1" x14ac:dyDescent="0.2"/>
    <row r="5181" ht="12.75" customHeight="1" x14ac:dyDescent="0.2"/>
    <row r="5182" ht="12.75" customHeight="1" x14ac:dyDescent="0.2"/>
    <row r="5183" ht="12.75" customHeight="1" x14ac:dyDescent="0.2"/>
    <row r="5184" ht="12.75" customHeight="1" x14ac:dyDescent="0.2"/>
    <row r="5185" ht="12.75" customHeight="1" x14ac:dyDescent="0.2"/>
    <row r="5186" ht="12.75" customHeight="1" x14ac:dyDescent="0.2"/>
    <row r="5187" ht="12.75" customHeight="1" x14ac:dyDescent="0.2"/>
    <row r="5188" ht="12.75" customHeight="1" x14ac:dyDescent="0.2"/>
    <row r="5189" ht="12.75" customHeight="1" x14ac:dyDescent="0.2"/>
    <row r="5190" ht="12.75" customHeight="1" x14ac:dyDescent="0.2"/>
    <row r="5191" ht="12.75" customHeight="1" x14ac:dyDescent="0.2"/>
    <row r="5192" ht="12.75" customHeight="1" x14ac:dyDescent="0.2"/>
    <row r="5193" ht="12.75" customHeight="1" x14ac:dyDescent="0.2"/>
    <row r="5194" ht="12.75" customHeight="1" x14ac:dyDescent="0.2"/>
    <row r="5195" ht="12.75" customHeight="1" x14ac:dyDescent="0.2"/>
    <row r="5196" ht="12.75" customHeight="1" x14ac:dyDescent="0.2"/>
    <row r="5197" ht="12.75" customHeight="1" x14ac:dyDescent="0.2"/>
    <row r="5198" ht="12.75" customHeight="1" x14ac:dyDescent="0.2"/>
    <row r="5199" ht="12.75" customHeight="1" x14ac:dyDescent="0.2"/>
    <row r="5200" ht="12.75" customHeight="1" x14ac:dyDescent="0.2"/>
    <row r="5201" ht="12.75" customHeight="1" x14ac:dyDescent="0.2"/>
    <row r="5202" ht="12.75" customHeight="1" x14ac:dyDescent="0.2"/>
    <row r="5203" ht="12.75" customHeight="1" x14ac:dyDescent="0.2"/>
    <row r="5204" ht="12.75" customHeight="1" x14ac:dyDescent="0.2"/>
    <row r="5205" ht="12.75" customHeight="1" x14ac:dyDescent="0.2"/>
    <row r="5206" ht="12.75" customHeight="1" x14ac:dyDescent="0.2"/>
    <row r="5207" ht="12.75" customHeight="1" x14ac:dyDescent="0.2"/>
    <row r="5208" ht="12.75" customHeight="1" x14ac:dyDescent="0.2"/>
    <row r="5209" ht="12.75" customHeight="1" x14ac:dyDescent="0.2"/>
    <row r="5210" ht="12.75" customHeight="1" x14ac:dyDescent="0.2"/>
    <row r="5211" ht="12.75" customHeight="1" x14ac:dyDescent="0.2"/>
    <row r="5212" ht="12.75" customHeight="1" x14ac:dyDescent="0.2"/>
    <row r="5213" ht="12.75" customHeight="1" x14ac:dyDescent="0.2"/>
    <row r="5214" ht="12.75" customHeight="1" x14ac:dyDescent="0.2"/>
    <row r="5215" ht="12.75" customHeight="1" x14ac:dyDescent="0.2"/>
    <row r="5216" ht="12.75" customHeight="1" x14ac:dyDescent="0.2"/>
    <row r="5217" ht="12.75" customHeight="1" x14ac:dyDescent="0.2"/>
    <row r="5218" ht="12.75" customHeight="1" x14ac:dyDescent="0.2"/>
    <row r="5219" ht="12.75" customHeight="1" x14ac:dyDescent="0.2"/>
    <row r="5220" ht="12.75" customHeight="1" x14ac:dyDescent="0.2"/>
    <row r="5221" ht="12.75" customHeight="1" x14ac:dyDescent="0.2"/>
    <row r="5222" ht="12.75" customHeight="1" x14ac:dyDescent="0.2"/>
    <row r="5223" ht="12.75" customHeight="1" x14ac:dyDescent="0.2"/>
    <row r="5224" ht="12.75" customHeight="1" x14ac:dyDescent="0.2"/>
    <row r="5225" ht="12.75" customHeight="1" x14ac:dyDescent="0.2"/>
    <row r="5226" ht="12.75" customHeight="1" x14ac:dyDescent="0.2"/>
    <row r="5227" ht="12.75" customHeight="1" x14ac:dyDescent="0.2"/>
    <row r="5228" ht="12.75" customHeight="1" x14ac:dyDescent="0.2"/>
    <row r="5229" ht="12.75" customHeight="1" x14ac:dyDescent="0.2"/>
    <row r="5230" ht="12.75" customHeight="1" x14ac:dyDescent="0.2"/>
    <row r="5231" ht="12.75" customHeight="1" x14ac:dyDescent="0.2"/>
    <row r="5232" ht="12.75" customHeight="1" x14ac:dyDescent="0.2"/>
    <row r="5233" ht="12.75" customHeight="1" x14ac:dyDescent="0.2"/>
    <row r="5234" ht="12.75" customHeight="1" x14ac:dyDescent="0.2"/>
    <row r="5235" ht="12.75" customHeight="1" x14ac:dyDescent="0.2"/>
    <row r="5236" ht="12.75" customHeight="1" x14ac:dyDescent="0.2"/>
    <row r="5237" ht="12.75" customHeight="1" x14ac:dyDescent="0.2"/>
    <row r="5238" ht="12.75" customHeight="1" x14ac:dyDescent="0.2"/>
    <row r="5239" ht="12.75" customHeight="1" x14ac:dyDescent="0.2"/>
    <row r="5240" ht="12.75" customHeight="1" x14ac:dyDescent="0.2"/>
    <row r="5241" ht="12.75" customHeight="1" x14ac:dyDescent="0.2"/>
    <row r="5242" ht="12.75" customHeight="1" x14ac:dyDescent="0.2"/>
    <row r="5243" ht="12.75" customHeight="1" x14ac:dyDescent="0.2"/>
    <row r="5244" ht="12.75" customHeight="1" x14ac:dyDescent="0.2"/>
    <row r="5245" ht="12.75" customHeight="1" x14ac:dyDescent="0.2"/>
    <row r="5246" ht="12.75" customHeight="1" x14ac:dyDescent="0.2"/>
    <row r="5247" ht="12.75" customHeight="1" x14ac:dyDescent="0.2"/>
    <row r="5248" ht="12.75" customHeight="1" x14ac:dyDescent="0.2"/>
    <row r="5249" ht="12.75" customHeight="1" x14ac:dyDescent="0.2"/>
    <row r="5250" ht="12.75" customHeight="1" x14ac:dyDescent="0.2"/>
    <row r="5251" ht="12.75" customHeight="1" x14ac:dyDescent="0.2"/>
    <row r="5252" ht="12.75" customHeight="1" x14ac:dyDescent="0.2"/>
    <row r="5253" ht="12.75" customHeight="1" x14ac:dyDescent="0.2"/>
    <row r="5254" ht="12.75" customHeight="1" x14ac:dyDescent="0.2"/>
    <row r="5255" ht="12.75" customHeight="1" x14ac:dyDescent="0.2"/>
    <row r="5256" ht="12.75" customHeight="1" x14ac:dyDescent="0.2"/>
    <row r="5257" ht="12.75" customHeight="1" x14ac:dyDescent="0.2"/>
    <row r="5258" ht="12.75" customHeight="1" x14ac:dyDescent="0.2"/>
    <row r="5259" ht="12.75" customHeight="1" x14ac:dyDescent="0.2"/>
    <row r="5260" ht="12.75" customHeight="1" x14ac:dyDescent="0.2"/>
    <row r="5261" ht="12.75" customHeight="1" x14ac:dyDescent="0.2"/>
    <row r="5262" ht="12.75" customHeight="1" x14ac:dyDescent="0.2"/>
    <row r="5263" ht="12.75" customHeight="1" x14ac:dyDescent="0.2"/>
    <row r="5264" ht="12.75" customHeight="1" x14ac:dyDescent="0.2"/>
    <row r="5265" ht="12.75" customHeight="1" x14ac:dyDescent="0.2"/>
    <row r="5266" ht="12.75" customHeight="1" x14ac:dyDescent="0.2"/>
    <row r="5267" ht="12.75" customHeight="1" x14ac:dyDescent="0.2"/>
    <row r="5268" ht="12.75" customHeight="1" x14ac:dyDescent="0.2"/>
    <row r="5269" ht="12.75" customHeight="1" x14ac:dyDescent="0.2"/>
    <row r="5270" ht="12.75" customHeight="1" x14ac:dyDescent="0.2"/>
    <row r="5271" ht="12.75" customHeight="1" x14ac:dyDescent="0.2"/>
    <row r="5272" ht="12.75" customHeight="1" x14ac:dyDescent="0.2"/>
    <row r="5273" ht="12.75" customHeight="1" x14ac:dyDescent="0.2"/>
    <row r="5274" ht="12.75" customHeight="1" x14ac:dyDescent="0.2"/>
    <row r="5275" ht="12.75" customHeight="1" x14ac:dyDescent="0.2"/>
    <row r="5276" ht="12.75" customHeight="1" x14ac:dyDescent="0.2"/>
    <row r="5277" ht="12.75" customHeight="1" x14ac:dyDescent="0.2"/>
    <row r="5278" ht="12.75" customHeight="1" x14ac:dyDescent="0.2"/>
    <row r="5279" ht="12.75" customHeight="1" x14ac:dyDescent="0.2"/>
    <row r="5280" ht="12.75" customHeight="1" x14ac:dyDescent="0.2"/>
    <row r="5281" ht="12.75" customHeight="1" x14ac:dyDescent="0.2"/>
    <row r="5282" ht="12.75" customHeight="1" x14ac:dyDescent="0.2"/>
    <row r="5283" ht="12.75" customHeight="1" x14ac:dyDescent="0.2"/>
    <row r="5284" ht="12.75" customHeight="1" x14ac:dyDescent="0.2"/>
    <row r="5285" ht="12.75" customHeight="1" x14ac:dyDescent="0.2"/>
    <row r="5286" ht="12.75" customHeight="1" x14ac:dyDescent="0.2"/>
    <row r="5287" ht="12.75" customHeight="1" x14ac:dyDescent="0.2"/>
    <row r="5288" ht="12.75" customHeight="1" x14ac:dyDescent="0.2"/>
    <row r="5289" ht="12.75" customHeight="1" x14ac:dyDescent="0.2"/>
    <row r="5290" ht="12.75" customHeight="1" x14ac:dyDescent="0.2"/>
    <row r="5291" ht="12.75" customHeight="1" x14ac:dyDescent="0.2"/>
    <row r="5292" ht="12.75" customHeight="1" x14ac:dyDescent="0.2"/>
    <row r="5293" ht="12.75" customHeight="1" x14ac:dyDescent="0.2"/>
    <row r="5294" ht="12.75" customHeight="1" x14ac:dyDescent="0.2"/>
    <row r="5295" ht="12.75" customHeight="1" x14ac:dyDescent="0.2"/>
    <row r="5296" ht="12.75" customHeight="1" x14ac:dyDescent="0.2"/>
    <row r="5297" ht="12.75" customHeight="1" x14ac:dyDescent="0.2"/>
    <row r="5298" ht="12.75" customHeight="1" x14ac:dyDescent="0.2"/>
    <row r="5299" ht="12.75" customHeight="1" x14ac:dyDescent="0.2"/>
    <row r="5300" ht="12.75" customHeight="1" x14ac:dyDescent="0.2"/>
    <row r="5301" ht="12.75" customHeight="1" x14ac:dyDescent="0.2"/>
    <row r="5302" ht="12.75" customHeight="1" x14ac:dyDescent="0.2"/>
    <row r="5303" ht="12.75" customHeight="1" x14ac:dyDescent="0.2"/>
    <row r="5304" ht="12.75" customHeight="1" x14ac:dyDescent="0.2"/>
    <row r="5305" ht="12.75" customHeight="1" x14ac:dyDescent="0.2"/>
    <row r="5306" ht="12.75" customHeight="1" x14ac:dyDescent="0.2"/>
    <row r="5307" ht="12.75" customHeight="1" x14ac:dyDescent="0.2"/>
    <row r="5308" ht="12.75" customHeight="1" x14ac:dyDescent="0.2"/>
    <row r="5309" ht="12.75" customHeight="1" x14ac:dyDescent="0.2"/>
    <row r="5310" ht="12.75" customHeight="1" x14ac:dyDescent="0.2"/>
    <row r="5311" ht="12.75" customHeight="1" x14ac:dyDescent="0.2"/>
    <row r="5312" ht="12.75" customHeight="1" x14ac:dyDescent="0.2"/>
    <row r="5313" ht="12.75" customHeight="1" x14ac:dyDescent="0.2"/>
    <row r="5314" ht="12.75" customHeight="1" x14ac:dyDescent="0.2"/>
    <row r="5315" ht="12.75" customHeight="1" x14ac:dyDescent="0.2"/>
    <row r="5316" ht="12.75" customHeight="1" x14ac:dyDescent="0.2"/>
    <row r="5317" ht="12.75" customHeight="1" x14ac:dyDescent="0.2"/>
    <row r="5318" ht="12.75" customHeight="1" x14ac:dyDescent="0.2"/>
    <row r="5319" ht="12.75" customHeight="1" x14ac:dyDescent="0.2"/>
    <row r="5320" ht="12.75" customHeight="1" x14ac:dyDescent="0.2"/>
    <row r="5321" ht="12.75" customHeight="1" x14ac:dyDescent="0.2"/>
    <row r="5322" ht="12.75" customHeight="1" x14ac:dyDescent="0.2"/>
    <row r="5323" ht="12.75" customHeight="1" x14ac:dyDescent="0.2"/>
    <row r="5324" ht="12.75" customHeight="1" x14ac:dyDescent="0.2"/>
    <row r="5325" ht="12.75" customHeight="1" x14ac:dyDescent="0.2"/>
    <row r="5326" ht="12.75" customHeight="1" x14ac:dyDescent="0.2"/>
    <row r="5327" ht="12.75" customHeight="1" x14ac:dyDescent="0.2"/>
    <row r="5328" ht="12.75" customHeight="1" x14ac:dyDescent="0.2"/>
    <row r="5329" ht="12.75" customHeight="1" x14ac:dyDescent="0.2"/>
    <row r="5330" ht="12.75" customHeight="1" x14ac:dyDescent="0.2"/>
    <row r="5331" ht="12.75" customHeight="1" x14ac:dyDescent="0.2"/>
    <row r="5332" ht="12.75" customHeight="1" x14ac:dyDescent="0.2"/>
    <row r="5333" ht="12.75" customHeight="1" x14ac:dyDescent="0.2"/>
    <row r="5334" ht="12.75" customHeight="1" x14ac:dyDescent="0.2"/>
    <row r="5335" ht="12.75" customHeight="1" x14ac:dyDescent="0.2"/>
    <row r="5336" ht="12.75" customHeight="1" x14ac:dyDescent="0.2"/>
    <row r="5337" ht="12.75" customHeight="1" x14ac:dyDescent="0.2"/>
    <row r="5338" ht="12.75" customHeight="1" x14ac:dyDescent="0.2"/>
    <row r="5339" ht="12.75" customHeight="1" x14ac:dyDescent="0.2"/>
    <row r="5340" ht="12.75" customHeight="1" x14ac:dyDescent="0.2"/>
    <row r="5341" ht="12.75" customHeight="1" x14ac:dyDescent="0.2"/>
    <row r="5342" ht="12.75" customHeight="1" x14ac:dyDescent="0.2"/>
    <row r="5343" ht="12.75" customHeight="1" x14ac:dyDescent="0.2"/>
    <row r="5344" ht="12.75" customHeight="1" x14ac:dyDescent="0.2"/>
    <row r="5345" ht="12.75" customHeight="1" x14ac:dyDescent="0.2"/>
    <row r="5346" ht="12.75" customHeight="1" x14ac:dyDescent="0.2"/>
    <row r="5347" ht="12.75" customHeight="1" x14ac:dyDescent="0.2"/>
    <row r="5348" ht="12.75" customHeight="1" x14ac:dyDescent="0.2"/>
    <row r="5349" ht="12.75" customHeight="1" x14ac:dyDescent="0.2"/>
    <row r="5350" ht="12.75" customHeight="1" x14ac:dyDescent="0.2"/>
    <row r="5351" ht="12.75" customHeight="1" x14ac:dyDescent="0.2"/>
    <row r="5352" ht="12.75" customHeight="1" x14ac:dyDescent="0.2"/>
    <row r="5353" ht="12.75" customHeight="1" x14ac:dyDescent="0.2"/>
    <row r="5354" ht="12.75" customHeight="1" x14ac:dyDescent="0.2"/>
    <row r="5355" ht="12.75" customHeight="1" x14ac:dyDescent="0.2"/>
    <row r="5356" ht="12.75" customHeight="1" x14ac:dyDescent="0.2"/>
    <row r="5357" ht="12.75" customHeight="1" x14ac:dyDescent="0.2"/>
    <row r="5358" ht="12.75" customHeight="1" x14ac:dyDescent="0.2"/>
    <row r="5359" ht="12.75" customHeight="1" x14ac:dyDescent="0.2"/>
    <row r="5360" ht="12.75" customHeight="1" x14ac:dyDescent="0.2"/>
    <row r="5361" ht="12.75" customHeight="1" x14ac:dyDescent="0.2"/>
    <row r="5362" ht="12.75" customHeight="1" x14ac:dyDescent="0.2"/>
    <row r="5363" ht="12.75" customHeight="1" x14ac:dyDescent="0.2"/>
    <row r="5364" ht="12.75" customHeight="1" x14ac:dyDescent="0.2"/>
    <row r="5365" ht="12.75" customHeight="1" x14ac:dyDescent="0.2"/>
    <row r="5366" ht="12.75" customHeight="1" x14ac:dyDescent="0.2"/>
    <row r="5367" ht="12.75" customHeight="1" x14ac:dyDescent="0.2"/>
    <row r="5368" ht="12.75" customHeight="1" x14ac:dyDescent="0.2"/>
    <row r="5369" ht="12.75" customHeight="1" x14ac:dyDescent="0.2"/>
    <row r="5370" ht="12.75" customHeight="1" x14ac:dyDescent="0.2"/>
    <row r="5371" ht="12.75" customHeight="1" x14ac:dyDescent="0.2"/>
    <row r="5372" ht="12.75" customHeight="1" x14ac:dyDescent="0.2"/>
    <row r="5373" ht="12.75" customHeight="1" x14ac:dyDescent="0.2"/>
    <row r="5374" ht="12.75" customHeight="1" x14ac:dyDescent="0.2"/>
    <row r="5375" ht="12.75" customHeight="1" x14ac:dyDescent="0.2"/>
    <row r="5376" ht="12.75" customHeight="1" x14ac:dyDescent="0.2"/>
    <row r="5377" ht="12.75" customHeight="1" x14ac:dyDescent="0.2"/>
    <row r="5378" ht="12.75" customHeight="1" x14ac:dyDescent="0.2"/>
    <row r="5379" ht="12.75" customHeight="1" x14ac:dyDescent="0.2"/>
    <row r="5380" ht="12.75" customHeight="1" x14ac:dyDescent="0.2"/>
    <row r="5381" ht="12.75" customHeight="1" x14ac:dyDescent="0.2"/>
    <row r="5382" ht="12.75" customHeight="1" x14ac:dyDescent="0.2"/>
    <row r="5383" ht="12.75" customHeight="1" x14ac:dyDescent="0.2"/>
    <row r="5384" ht="12.75" customHeight="1" x14ac:dyDescent="0.2"/>
    <row r="5385" ht="12.75" customHeight="1" x14ac:dyDescent="0.2"/>
    <row r="5386" ht="12.75" customHeight="1" x14ac:dyDescent="0.2"/>
    <row r="5387" ht="12.75" customHeight="1" x14ac:dyDescent="0.2"/>
    <row r="5388" ht="12.75" customHeight="1" x14ac:dyDescent="0.2"/>
    <row r="5389" ht="12.75" customHeight="1" x14ac:dyDescent="0.2"/>
    <row r="5390" ht="12.75" customHeight="1" x14ac:dyDescent="0.2"/>
    <row r="5391" ht="12.75" customHeight="1" x14ac:dyDescent="0.2"/>
    <row r="5392" ht="12.75" customHeight="1" x14ac:dyDescent="0.2"/>
    <row r="5393" ht="12.75" customHeight="1" x14ac:dyDescent="0.2"/>
    <row r="5394" ht="12.75" customHeight="1" x14ac:dyDescent="0.2"/>
    <row r="5395" ht="12.75" customHeight="1" x14ac:dyDescent="0.2"/>
    <row r="5396" ht="12.75" customHeight="1" x14ac:dyDescent="0.2"/>
    <row r="5397" ht="12.75" customHeight="1" x14ac:dyDescent="0.2"/>
    <row r="5398" ht="12.75" customHeight="1" x14ac:dyDescent="0.2"/>
    <row r="5399" ht="12.75" customHeight="1" x14ac:dyDescent="0.2"/>
    <row r="5400" ht="12.75" customHeight="1" x14ac:dyDescent="0.2"/>
    <row r="5401" ht="12.75" customHeight="1" x14ac:dyDescent="0.2"/>
    <row r="5402" ht="12.75" customHeight="1" x14ac:dyDescent="0.2"/>
    <row r="5403" ht="12.75" customHeight="1" x14ac:dyDescent="0.2"/>
    <row r="5404" ht="12.75" customHeight="1" x14ac:dyDescent="0.2"/>
    <row r="5405" ht="12.75" customHeight="1" x14ac:dyDescent="0.2"/>
    <row r="5406" ht="12.75" customHeight="1" x14ac:dyDescent="0.2"/>
    <row r="5407" ht="12.75" customHeight="1" x14ac:dyDescent="0.2"/>
    <row r="5408" ht="12.75" customHeight="1" x14ac:dyDescent="0.2"/>
    <row r="5409" ht="12.75" customHeight="1" x14ac:dyDescent="0.2"/>
    <row r="5410" ht="12.75" customHeight="1" x14ac:dyDescent="0.2"/>
    <row r="5411" ht="12.75" customHeight="1" x14ac:dyDescent="0.2"/>
    <row r="5412" ht="12.75" customHeight="1" x14ac:dyDescent="0.2"/>
    <row r="5413" ht="12.75" customHeight="1" x14ac:dyDescent="0.2"/>
    <row r="5414" ht="12.75" customHeight="1" x14ac:dyDescent="0.2"/>
    <row r="5415" ht="12.75" customHeight="1" x14ac:dyDescent="0.2"/>
    <row r="5416" ht="12.75" customHeight="1" x14ac:dyDescent="0.2"/>
    <row r="5417" ht="12.75" customHeight="1" x14ac:dyDescent="0.2"/>
    <row r="5418" ht="12.75" customHeight="1" x14ac:dyDescent="0.2"/>
    <row r="5419" ht="12.75" customHeight="1" x14ac:dyDescent="0.2"/>
    <row r="5420" ht="12.75" customHeight="1" x14ac:dyDescent="0.2"/>
    <row r="5421" ht="12.75" customHeight="1" x14ac:dyDescent="0.2"/>
    <row r="5422" ht="12.75" customHeight="1" x14ac:dyDescent="0.2"/>
    <row r="5423" ht="12.75" customHeight="1" x14ac:dyDescent="0.2"/>
    <row r="5424" ht="12.75" customHeight="1" x14ac:dyDescent="0.2"/>
    <row r="5425" ht="12.75" customHeight="1" x14ac:dyDescent="0.2"/>
    <row r="5426" ht="12.75" customHeight="1" x14ac:dyDescent="0.2"/>
    <row r="5427" ht="12.75" customHeight="1" x14ac:dyDescent="0.2"/>
    <row r="5428" ht="12.75" customHeight="1" x14ac:dyDescent="0.2"/>
    <row r="5429" ht="12.75" customHeight="1" x14ac:dyDescent="0.2"/>
    <row r="5430" ht="12.75" customHeight="1" x14ac:dyDescent="0.2"/>
    <row r="5431" ht="12.75" customHeight="1" x14ac:dyDescent="0.2"/>
    <row r="5432" ht="12.75" customHeight="1" x14ac:dyDescent="0.2"/>
    <row r="5433" ht="12.75" customHeight="1" x14ac:dyDescent="0.2"/>
    <row r="5434" ht="12.75" customHeight="1" x14ac:dyDescent="0.2"/>
    <row r="5435" ht="12.75" customHeight="1" x14ac:dyDescent="0.2"/>
    <row r="5436" ht="12.75" customHeight="1" x14ac:dyDescent="0.2"/>
    <row r="5437" ht="12.75" customHeight="1" x14ac:dyDescent="0.2"/>
    <row r="5438" ht="12.75" customHeight="1" x14ac:dyDescent="0.2"/>
    <row r="5439" ht="12.75" customHeight="1" x14ac:dyDescent="0.2"/>
    <row r="5440" ht="12.75" customHeight="1" x14ac:dyDescent="0.2"/>
    <row r="5441" ht="12.75" customHeight="1" x14ac:dyDescent="0.2"/>
    <row r="5442" ht="12.75" customHeight="1" x14ac:dyDescent="0.2"/>
    <row r="5443" ht="12.75" customHeight="1" x14ac:dyDescent="0.2"/>
    <row r="5444" ht="12.75" customHeight="1" x14ac:dyDescent="0.2"/>
    <row r="5445" ht="12.75" customHeight="1" x14ac:dyDescent="0.2"/>
    <row r="5446" ht="12.75" customHeight="1" x14ac:dyDescent="0.2"/>
    <row r="5447" ht="12.75" customHeight="1" x14ac:dyDescent="0.2"/>
    <row r="5448" ht="12.75" customHeight="1" x14ac:dyDescent="0.2"/>
    <row r="5449" ht="12.75" customHeight="1" x14ac:dyDescent="0.2"/>
    <row r="5450" ht="12.75" customHeight="1" x14ac:dyDescent="0.2"/>
    <row r="5451" ht="12.75" customHeight="1" x14ac:dyDescent="0.2"/>
    <row r="5452" ht="12.75" customHeight="1" x14ac:dyDescent="0.2"/>
    <row r="5453" ht="12.75" customHeight="1" x14ac:dyDescent="0.2"/>
    <row r="5454" ht="12.75" customHeight="1" x14ac:dyDescent="0.2"/>
    <row r="5455" ht="12.75" customHeight="1" x14ac:dyDescent="0.2"/>
    <row r="5456" ht="12.75" customHeight="1" x14ac:dyDescent="0.2"/>
    <row r="5457" ht="12.75" customHeight="1" x14ac:dyDescent="0.2"/>
    <row r="5458" ht="12.75" customHeight="1" x14ac:dyDescent="0.2"/>
    <row r="5459" ht="12.75" customHeight="1" x14ac:dyDescent="0.2"/>
    <row r="5460" ht="12.75" customHeight="1" x14ac:dyDescent="0.2"/>
    <row r="5461" ht="12.75" customHeight="1" x14ac:dyDescent="0.2"/>
    <row r="5462" ht="12.75" customHeight="1" x14ac:dyDescent="0.2"/>
    <row r="5463" ht="12.75" customHeight="1" x14ac:dyDescent="0.2"/>
    <row r="5464" ht="12.75" customHeight="1" x14ac:dyDescent="0.2"/>
    <row r="5465" ht="12.75" customHeight="1" x14ac:dyDescent="0.2"/>
    <row r="5466" ht="12.75" customHeight="1" x14ac:dyDescent="0.2"/>
    <row r="5467" ht="12.75" customHeight="1" x14ac:dyDescent="0.2"/>
    <row r="5468" ht="12.75" customHeight="1" x14ac:dyDescent="0.2"/>
    <row r="5469" ht="12.75" customHeight="1" x14ac:dyDescent="0.2"/>
    <row r="5470" ht="12.75" customHeight="1" x14ac:dyDescent="0.2"/>
    <row r="5471" ht="12.75" customHeight="1" x14ac:dyDescent="0.2"/>
    <row r="5472" ht="12.75" customHeight="1" x14ac:dyDescent="0.2"/>
    <row r="5473" ht="12.75" customHeight="1" x14ac:dyDescent="0.2"/>
    <row r="5474" ht="12.75" customHeight="1" x14ac:dyDescent="0.2"/>
    <row r="5475" ht="12.75" customHeight="1" x14ac:dyDescent="0.2"/>
    <row r="5476" ht="12.75" customHeight="1" x14ac:dyDescent="0.2"/>
    <row r="5477" ht="12.75" customHeight="1" x14ac:dyDescent="0.2"/>
    <row r="5478" ht="12.75" customHeight="1" x14ac:dyDescent="0.2"/>
    <row r="5479" ht="12.75" customHeight="1" x14ac:dyDescent="0.2"/>
    <row r="5480" ht="12.75" customHeight="1" x14ac:dyDescent="0.2"/>
    <row r="5481" ht="12.75" customHeight="1" x14ac:dyDescent="0.2"/>
    <row r="5482" ht="12.75" customHeight="1" x14ac:dyDescent="0.2"/>
    <row r="5483" ht="12.75" customHeight="1" x14ac:dyDescent="0.2"/>
    <row r="5484" ht="12.75" customHeight="1" x14ac:dyDescent="0.2"/>
    <row r="5485" ht="12.75" customHeight="1" x14ac:dyDescent="0.2"/>
    <row r="5486" ht="12.75" customHeight="1" x14ac:dyDescent="0.2"/>
    <row r="5487" ht="12.75" customHeight="1" x14ac:dyDescent="0.2"/>
    <row r="5488" ht="12.75" customHeight="1" x14ac:dyDescent="0.2"/>
    <row r="5489" ht="12.75" customHeight="1" x14ac:dyDescent="0.2"/>
    <row r="5490" ht="12.75" customHeight="1" x14ac:dyDescent="0.2"/>
    <row r="5491" ht="12.75" customHeight="1" x14ac:dyDescent="0.2"/>
    <row r="5492" ht="12.75" customHeight="1" x14ac:dyDescent="0.2"/>
    <row r="5493" ht="12.75" customHeight="1" x14ac:dyDescent="0.2"/>
    <row r="5494" ht="12.75" customHeight="1" x14ac:dyDescent="0.2"/>
    <row r="5495" ht="12.75" customHeight="1" x14ac:dyDescent="0.2"/>
    <row r="5496" ht="12.75" customHeight="1" x14ac:dyDescent="0.2"/>
    <row r="5497" ht="12.75" customHeight="1" x14ac:dyDescent="0.2"/>
    <row r="5498" ht="12.75" customHeight="1" x14ac:dyDescent="0.2"/>
    <row r="5499" ht="12.75" customHeight="1" x14ac:dyDescent="0.2"/>
    <row r="5500" ht="12.75" customHeight="1" x14ac:dyDescent="0.2"/>
    <row r="5501" ht="12.75" customHeight="1" x14ac:dyDescent="0.2"/>
    <row r="5502" ht="12.75" customHeight="1" x14ac:dyDescent="0.2"/>
    <row r="5503" ht="12.75" customHeight="1" x14ac:dyDescent="0.2"/>
    <row r="5504" ht="12.75" customHeight="1" x14ac:dyDescent="0.2"/>
    <row r="5505" ht="12.75" customHeight="1" x14ac:dyDescent="0.2"/>
    <row r="5506" ht="12.75" customHeight="1" x14ac:dyDescent="0.2"/>
    <row r="5507" ht="12.75" customHeight="1" x14ac:dyDescent="0.2"/>
    <row r="5508" ht="12.75" customHeight="1" x14ac:dyDescent="0.2"/>
    <row r="5509" ht="12.75" customHeight="1" x14ac:dyDescent="0.2"/>
    <row r="5510" ht="12.75" customHeight="1" x14ac:dyDescent="0.2"/>
    <row r="5511" ht="12.75" customHeight="1" x14ac:dyDescent="0.2"/>
    <row r="5512" ht="12.75" customHeight="1" x14ac:dyDescent="0.2"/>
    <row r="5513" ht="12.75" customHeight="1" x14ac:dyDescent="0.2"/>
    <row r="5514" ht="12.75" customHeight="1" x14ac:dyDescent="0.2"/>
    <row r="5515" ht="12.75" customHeight="1" x14ac:dyDescent="0.2"/>
    <row r="5516" ht="12.75" customHeight="1" x14ac:dyDescent="0.2"/>
    <row r="5517" ht="12.75" customHeight="1" x14ac:dyDescent="0.2"/>
    <row r="5518" ht="12.75" customHeight="1" x14ac:dyDescent="0.2"/>
    <row r="5519" ht="12.75" customHeight="1" x14ac:dyDescent="0.2"/>
    <row r="5520" ht="12.75" customHeight="1" x14ac:dyDescent="0.2"/>
    <row r="5521" ht="12.75" customHeight="1" x14ac:dyDescent="0.2"/>
    <row r="5522" ht="12.75" customHeight="1" x14ac:dyDescent="0.2"/>
    <row r="5523" ht="12.75" customHeight="1" x14ac:dyDescent="0.2"/>
    <row r="5524" ht="12.75" customHeight="1" x14ac:dyDescent="0.2"/>
    <row r="5525" ht="12.75" customHeight="1" x14ac:dyDescent="0.2"/>
    <row r="5526" ht="12.75" customHeight="1" x14ac:dyDescent="0.2"/>
    <row r="5527" ht="12.75" customHeight="1" x14ac:dyDescent="0.2"/>
    <row r="5528" ht="12.75" customHeight="1" x14ac:dyDescent="0.2"/>
    <row r="5529" ht="12.75" customHeight="1" x14ac:dyDescent="0.2"/>
    <row r="5530" ht="12.75" customHeight="1" x14ac:dyDescent="0.2"/>
    <row r="5531" ht="12.75" customHeight="1" x14ac:dyDescent="0.2"/>
    <row r="5532" ht="12.75" customHeight="1" x14ac:dyDescent="0.2"/>
    <row r="5533" ht="12.75" customHeight="1" x14ac:dyDescent="0.2"/>
    <row r="5534" ht="12.75" customHeight="1" x14ac:dyDescent="0.2"/>
    <row r="5535" ht="12.75" customHeight="1" x14ac:dyDescent="0.2"/>
    <row r="5536" ht="12.75" customHeight="1" x14ac:dyDescent="0.2"/>
    <row r="5537" ht="12.75" customHeight="1" x14ac:dyDescent="0.2"/>
    <row r="5538" ht="12.75" customHeight="1" x14ac:dyDescent="0.2"/>
    <row r="5539" ht="12.75" customHeight="1" x14ac:dyDescent="0.2"/>
    <row r="5540" ht="12.75" customHeight="1" x14ac:dyDescent="0.2"/>
    <row r="5541" ht="12.75" customHeight="1" x14ac:dyDescent="0.2"/>
    <row r="5542" ht="12.75" customHeight="1" x14ac:dyDescent="0.2"/>
    <row r="5543" ht="12.75" customHeight="1" x14ac:dyDescent="0.2"/>
    <row r="5544" ht="12.75" customHeight="1" x14ac:dyDescent="0.2"/>
    <row r="5545" ht="12.75" customHeight="1" x14ac:dyDescent="0.2"/>
    <row r="5546" ht="12.75" customHeight="1" x14ac:dyDescent="0.2"/>
    <row r="5547" ht="12.75" customHeight="1" x14ac:dyDescent="0.2"/>
    <row r="5548" ht="12.75" customHeight="1" x14ac:dyDescent="0.2"/>
    <row r="5549" ht="12.75" customHeight="1" x14ac:dyDescent="0.2"/>
    <row r="5550" ht="12.75" customHeight="1" x14ac:dyDescent="0.2"/>
    <row r="5551" ht="12.75" customHeight="1" x14ac:dyDescent="0.2"/>
    <row r="5552" ht="12.75" customHeight="1" x14ac:dyDescent="0.2"/>
    <row r="5553" ht="12.75" customHeight="1" x14ac:dyDescent="0.2"/>
    <row r="5554" ht="12.75" customHeight="1" x14ac:dyDescent="0.2"/>
    <row r="5555" ht="12.75" customHeight="1" x14ac:dyDescent="0.2"/>
    <row r="5556" ht="12.75" customHeight="1" x14ac:dyDescent="0.2"/>
    <row r="5557" ht="12.75" customHeight="1" x14ac:dyDescent="0.2"/>
    <row r="5558" ht="12.75" customHeight="1" x14ac:dyDescent="0.2"/>
    <row r="5559" ht="12.75" customHeight="1" x14ac:dyDescent="0.2"/>
    <row r="5560" ht="12.75" customHeight="1" x14ac:dyDescent="0.2"/>
    <row r="5561" ht="12.75" customHeight="1" x14ac:dyDescent="0.2"/>
    <row r="5562" ht="12.75" customHeight="1" x14ac:dyDescent="0.2"/>
    <row r="5563" ht="12.75" customHeight="1" x14ac:dyDescent="0.2"/>
    <row r="5564" ht="12.75" customHeight="1" x14ac:dyDescent="0.2"/>
    <row r="5565" ht="12.75" customHeight="1" x14ac:dyDescent="0.2"/>
    <row r="5566" ht="12.75" customHeight="1" x14ac:dyDescent="0.2"/>
    <row r="5567" ht="12.75" customHeight="1" x14ac:dyDescent="0.2"/>
    <row r="5568" ht="12.75" customHeight="1" x14ac:dyDescent="0.2"/>
    <row r="5569" ht="12.75" customHeight="1" x14ac:dyDescent="0.2"/>
    <row r="5570" ht="12.75" customHeight="1" x14ac:dyDescent="0.2"/>
    <row r="5571" ht="12.75" customHeight="1" x14ac:dyDescent="0.2"/>
    <row r="5572" ht="12.75" customHeight="1" x14ac:dyDescent="0.2"/>
    <row r="5573" ht="12.75" customHeight="1" x14ac:dyDescent="0.2"/>
    <row r="5574" ht="12.75" customHeight="1" x14ac:dyDescent="0.2"/>
    <row r="5575" ht="12.75" customHeight="1" x14ac:dyDescent="0.2"/>
    <row r="5576" ht="12.75" customHeight="1" x14ac:dyDescent="0.2"/>
    <row r="5577" ht="12.75" customHeight="1" x14ac:dyDescent="0.2"/>
    <row r="5578" ht="12.75" customHeight="1" x14ac:dyDescent="0.2"/>
    <row r="5579" ht="12.75" customHeight="1" x14ac:dyDescent="0.2"/>
    <row r="5580" ht="12.75" customHeight="1" x14ac:dyDescent="0.2"/>
    <row r="5581" ht="12.75" customHeight="1" x14ac:dyDescent="0.2"/>
    <row r="5582" ht="12.75" customHeight="1" x14ac:dyDescent="0.2"/>
    <row r="5583" ht="12.75" customHeight="1" x14ac:dyDescent="0.2"/>
    <row r="5584" ht="12.75" customHeight="1" x14ac:dyDescent="0.2"/>
    <row r="5585" ht="12.75" customHeight="1" x14ac:dyDescent="0.2"/>
    <row r="5586" ht="12.75" customHeight="1" x14ac:dyDescent="0.2"/>
    <row r="5587" ht="12.75" customHeight="1" x14ac:dyDescent="0.2"/>
    <row r="5588" ht="12.75" customHeight="1" x14ac:dyDescent="0.2"/>
    <row r="5589" ht="12.75" customHeight="1" x14ac:dyDescent="0.2"/>
    <row r="5590" ht="12.75" customHeight="1" x14ac:dyDescent="0.2"/>
    <row r="5591" ht="12.75" customHeight="1" x14ac:dyDescent="0.2"/>
    <row r="5592" ht="12.75" customHeight="1" x14ac:dyDescent="0.2"/>
    <row r="5593" ht="12.75" customHeight="1" x14ac:dyDescent="0.2"/>
    <row r="5594" ht="12.75" customHeight="1" x14ac:dyDescent="0.2"/>
    <row r="5595" ht="12.75" customHeight="1" x14ac:dyDescent="0.2"/>
    <row r="5596" ht="12.75" customHeight="1" x14ac:dyDescent="0.2"/>
    <row r="5597" ht="12.75" customHeight="1" x14ac:dyDescent="0.2"/>
    <row r="5598" ht="12.75" customHeight="1" x14ac:dyDescent="0.2"/>
    <row r="5599" ht="12.75" customHeight="1" x14ac:dyDescent="0.2"/>
    <row r="5600" ht="12.75" customHeight="1" x14ac:dyDescent="0.2"/>
    <row r="5601" ht="12.75" customHeight="1" x14ac:dyDescent="0.2"/>
    <row r="5602" ht="12.75" customHeight="1" x14ac:dyDescent="0.2"/>
    <row r="5603" ht="12.75" customHeight="1" x14ac:dyDescent="0.2"/>
    <row r="5604" ht="12.75" customHeight="1" x14ac:dyDescent="0.2"/>
    <row r="5605" ht="12.75" customHeight="1" x14ac:dyDescent="0.2"/>
    <row r="5606" ht="12.75" customHeight="1" x14ac:dyDescent="0.2"/>
    <row r="5607" ht="12.75" customHeight="1" x14ac:dyDescent="0.2"/>
    <row r="5608" ht="12.75" customHeight="1" x14ac:dyDescent="0.2"/>
    <row r="5609" ht="12.75" customHeight="1" x14ac:dyDescent="0.2"/>
    <row r="5610" ht="12.75" customHeight="1" x14ac:dyDescent="0.2"/>
    <row r="5611" ht="12.75" customHeight="1" x14ac:dyDescent="0.2"/>
    <row r="5612" ht="12.75" customHeight="1" x14ac:dyDescent="0.2"/>
    <row r="5613" ht="12.75" customHeight="1" x14ac:dyDescent="0.2"/>
    <row r="5614" ht="12.75" customHeight="1" x14ac:dyDescent="0.2"/>
    <row r="5615" ht="12.75" customHeight="1" x14ac:dyDescent="0.2"/>
    <row r="5616" ht="12.75" customHeight="1" x14ac:dyDescent="0.2"/>
    <row r="5617" ht="12.75" customHeight="1" x14ac:dyDescent="0.2"/>
    <row r="5618" ht="12.75" customHeight="1" x14ac:dyDescent="0.2"/>
    <row r="5619" ht="12.75" customHeight="1" x14ac:dyDescent="0.2"/>
    <row r="5620" ht="12.75" customHeight="1" x14ac:dyDescent="0.2"/>
    <row r="5621" ht="12.75" customHeight="1" x14ac:dyDescent="0.2"/>
    <row r="5622" ht="12.75" customHeight="1" x14ac:dyDescent="0.2"/>
    <row r="5623" ht="12.75" customHeight="1" x14ac:dyDescent="0.2"/>
    <row r="5624" ht="12.75" customHeight="1" x14ac:dyDescent="0.2"/>
    <row r="5625" ht="12.75" customHeight="1" x14ac:dyDescent="0.2"/>
    <row r="5626" ht="12.75" customHeight="1" x14ac:dyDescent="0.2"/>
    <row r="5627" ht="12.75" customHeight="1" x14ac:dyDescent="0.2"/>
    <row r="5628" ht="12.75" customHeight="1" x14ac:dyDescent="0.2"/>
    <row r="5629" ht="12.75" customHeight="1" x14ac:dyDescent="0.2"/>
    <row r="5630" ht="12.75" customHeight="1" x14ac:dyDescent="0.2"/>
    <row r="5631" ht="12.75" customHeight="1" x14ac:dyDescent="0.2"/>
    <row r="5632" ht="12.75" customHeight="1" x14ac:dyDescent="0.2"/>
    <row r="5633" ht="12.75" customHeight="1" x14ac:dyDescent="0.2"/>
    <row r="5634" ht="12.75" customHeight="1" x14ac:dyDescent="0.2"/>
    <row r="5635" ht="12.75" customHeight="1" x14ac:dyDescent="0.2"/>
    <row r="5636" ht="12.75" customHeight="1" x14ac:dyDescent="0.2"/>
    <row r="5637" ht="12.75" customHeight="1" x14ac:dyDescent="0.2"/>
    <row r="5638" ht="12.75" customHeight="1" x14ac:dyDescent="0.2"/>
    <row r="5639" ht="12.75" customHeight="1" x14ac:dyDescent="0.2"/>
    <row r="5640" ht="12.75" customHeight="1" x14ac:dyDescent="0.2"/>
    <row r="5641" ht="12.75" customHeight="1" x14ac:dyDescent="0.2"/>
    <row r="5642" ht="12.75" customHeight="1" x14ac:dyDescent="0.2"/>
    <row r="5643" ht="12.75" customHeight="1" x14ac:dyDescent="0.2"/>
    <row r="5644" ht="12.75" customHeight="1" x14ac:dyDescent="0.2"/>
    <row r="5645" ht="12.75" customHeight="1" x14ac:dyDescent="0.2"/>
    <row r="5646" ht="12.75" customHeight="1" x14ac:dyDescent="0.2"/>
    <row r="5647" ht="12.75" customHeight="1" x14ac:dyDescent="0.2"/>
    <row r="5648" ht="12.75" customHeight="1" x14ac:dyDescent="0.2"/>
    <row r="5649" ht="12.75" customHeight="1" x14ac:dyDescent="0.2"/>
    <row r="5650" ht="12.75" customHeight="1" x14ac:dyDescent="0.2"/>
    <row r="5651" ht="12.75" customHeight="1" x14ac:dyDescent="0.2"/>
    <row r="5652" ht="12.75" customHeight="1" x14ac:dyDescent="0.2"/>
    <row r="5653" ht="12.75" customHeight="1" x14ac:dyDescent="0.2"/>
    <row r="5654" ht="12.75" customHeight="1" x14ac:dyDescent="0.2"/>
    <row r="5655" ht="12.75" customHeight="1" x14ac:dyDescent="0.2"/>
    <row r="5656" ht="12.75" customHeight="1" x14ac:dyDescent="0.2"/>
    <row r="5657" ht="12.75" customHeight="1" x14ac:dyDescent="0.2"/>
    <row r="5658" ht="12.75" customHeight="1" x14ac:dyDescent="0.2"/>
    <row r="5659" ht="12.75" customHeight="1" x14ac:dyDescent="0.2"/>
    <row r="5660" ht="12.75" customHeight="1" x14ac:dyDescent="0.2"/>
    <row r="5661" ht="12.75" customHeight="1" x14ac:dyDescent="0.2"/>
    <row r="5662" ht="12.75" customHeight="1" x14ac:dyDescent="0.2"/>
    <row r="5663" ht="12.75" customHeight="1" x14ac:dyDescent="0.2"/>
    <row r="5664" ht="12.75" customHeight="1" x14ac:dyDescent="0.2"/>
    <row r="5665" ht="12.75" customHeight="1" x14ac:dyDescent="0.2"/>
    <row r="5666" ht="12.75" customHeight="1" x14ac:dyDescent="0.2"/>
    <row r="5667" ht="12.75" customHeight="1" x14ac:dyDescent="0.2"/>
    <row r="5668" ht="12.75" customHeight="1" x14ac:dyDescent="0.2"/>
    <row r="5669" ht="12.75" customHeight="1" x14ac:dyDescent="0.2"/>
    <row r="5670" ht="12.75" customHeight="1" x14ac:dyDescent="0.2"/>
    <row r="5671" ht="12.75" customHeight="1" x14ac:dyDescent="0.2"/>
    <row r="5672" ht="12.75" customHeight="1" x14ac:dyDescent="0.2"/>
    <row r="5673" ht="12.75" customHeight="1" x14ac:dyDescent="0.2"/>
    <row r="5674" ht="12.75" customHeight="1" x14ac:dyDescent="0.2"/>
    <row r="5675" ht="12.75" customHeight="1" x14ac:dyDescent="0.2"/>
    <row r="5676" ht="12.75" customHeight="1" x14ac:dyDescent="0.2"/>
    <row r="5677" ht="12.75" customHeight="1" x14ac:dyDescent="0.2"/>
    <row r="5678" ht="12.75" customHeight="1" x14ac:dyDescent="0.2"/>
    <row r="5679" ht="12.75" customHeight="1" x14ac:dyDescent="0.2"/>
    <row r="5680" ht="12.75" customHeight="1" x14ac:dyDescent="0.2"/>
    <row r="5681" ht="12.75" customHeight="1" x14ac:dyDescent="0.2"/>
    <row r="5682" ht="12.75" customHeight="1" x14ac:dyDescent="0.2"/>
    <row r="5683" ht="12.75" customHeight="1" x14ac:dyDescent="0.2"/>
    <row r="5684" ht="12.75" customHeight="1" x14ac:dyDescent="0.2"/>
    <row r="5685" ht="12.75" customHeight="1" x14ac:dyDescent="0.2"/>
    <row r="5686" ht="12.75" customHeight="1" x14ac:dyDescent="0.2"/>
    <row r="5687" ht="12.75" customHeight="1" x14ac:dyDescent="0.2"/>
    <row r="5688" ht="12.75" customHeight="1" x14ac:dyDescent="0.2"/>
    <row r="5689" ht="12.75" customHeight="1" x14ac:dyDescent="0.2"/>
    <row r="5690" ht="12.75" customHeight="1" x14ac:dyDescent="0.2"/>
    <row r="5691" ht="12.75" customHeight="1" x14ac:dyDescent="0.2"/>
    <row r="5692" ht="12.75" customHeight="1" x14ac:dyDescent="0.2"/>
    <row r="5693" ht="12.75" customHeight="1" x14ac:dyDescent="0.2"/>
    <row r="5694" ht="12.75" customHeight="1" x14ac:dyDescent="0.2"/>
    <row r="5695" ht="12.75" customHeight="1" x14ac:dyDescent="0.2"/>
    <row r="5696" ht="12.75" customHeight="1" x14ac:dyDescent="0.2"/>
    <row r="5697" ht="12.75" customHeight="1" x14ac:dyDescent="0.2"/>
    <row r="5698" ht="12.75" customHeight="1" x14ac:dyDescent="0.2"/>
    <row r="5699" ht="12.75" customHeight="1" x14ac:dyDescent="0.2"/>
    <row r="5700" ht="12.75" customHeight="1" x14ac:dyDescent="0.2"/>
    <row r="5701" ht="12.75" customHeight="1" x14ac:dyDescent="0.2"/>
    <row r="5702" ht="12.75" customHeight="1" x14ac:dyDescent="0.2"/>
    <row r="5703" ht="12.75" customHeight="1" x14ac:dyDescent="0.2"/>
    <row r="5704" ht="12.75" customHeight="1" x14ac:dyDescent="0.2"/>
    <row r="5705" ht="12.75" customHeight="1" x14ac:dyDescent="0.2"/>
    <row r="5706" ht="12.75" customHeight="1" x14ac:dyDescent="0.2"/>
    <row r="5707" ht="12.75" customHeight="1" x14ac:dyDescent="0.2"/>
    <row r="5708" ht="12.75" customHeight="1" x14ac:dyDescent="0.2"/>
    <row r="5709" ht="12.75" customHeight="1" x14ac:dyDescent="0.2"/>
    <row r="5710" ht="12.75" customHeight="1" x14ac:dyDescent="0.2"/>
    <row r="5711" ht="12.75" customHeight="1" x14ac:dyDescent="0.2"/>
    <row r="5712" ht="12.75" customHeight="1" x14ac:dyDescent="0.2"/>
    <row r="5713" ht="12.75" customHeight="1" x14ac:dyDescent="0.2"/>
    <row r="5714" ht="12.75" customHeight="1" x14ac:dyDescent="0.2"/>
    <row r="5715" ht="12.75" customHeight="1" x14ac:dyDescent="0.2"/>
    <row r="5716" ht="12.75" customHeight="1" x14ac:dyDescent="0.2"/>
    <row r="5717" ht="12.75" customHeight="1" x14ac:dyDescent="0.2"/>
    <row r="5718" ht="12.75" customHeight="1" x14ac:dyDescent="0.2"/>
    <row r="5719" ht="12.75" customHeight="1" x14ac:dyDescent="0.2"/>
    <row r="5720" ht="12.75" customHeight="1" x14ac:dyDescent="0.2"/>
    <row r="5721" ht="12.75" customHeight="1" x14ac:dyDescent="0.2"/>
    <row r="5722" ht="12.75" customHeight="1" x14ac:dyDescent="0.2"/>
    <row r="5723" ht="12.75" customHeight="1" x14ac:dyDescent="0.2"/>
    <row r="5724" ht="12.75" customHeight="1" x14ac:dyDescent="0.2"/>
    <row r="5725" ht="12.75" customHeight="1" x14ac:dyDescent="0.2"/>
    <row r="5726" ht="12.75" customHeight="1" x14ac:dyDescent="0.2"/>
    <row r="5727" ht="12.75" customHeight="1" x14ac:dyDescent="0.2"/>
    <row r="5728" ht="12.75" customHeight="1" x14ac:dyDescent="0.2"/>
    <row r="5729" ht="12.75" customHeight="1" x14ac:dyDescent="0.2"/>
    <row r="5730" ht="12.75" customHeight="1" x14ac:dyDescent="0.2"/>
    <row r="5731" ht="12.75" customHeight="1" x14ac:dyDescent="0.2"/>
    <row r="5732" ht="12.75" customHeight="1" x14ac:dyDescent="0.2"/>
    <row r="5733" ht="12.75" customHeight="1" x14ac:dyDescent="0.2"/>
    <row r="5734" ht="12.75" customHeight="1" x14ac:dyDescent="0.2"/>
    <row r="5735" ht="12.75" customHeight="1" x14ac:dyDescent="0.2"/>
    <row r="5736" ht="12.75" customHeight="1" x14ac:dyDescent="0.2"/>
    <row r="5737" ht="12.75" customHeight="1" x14ac:dyDescent="0.2"/>
    <row r="5738" ht="12.75" customHeight="1" x14ac:dyDescent="0.2"/>
    <row r="5739" ht="12.75" customHeight="1" x14ac:dyDescent="0.2"/>
    <row r="5740" ht="12.75" customHeight="1" x14ac:dyDescent="0.2"/>
    <row r="5741" ht="12.75" customHeight="1" x14ac:dyDescent="0.2"/>
    <row r="5742" ht="12.75" customHeight="1" x14ac:dyDescent="0.2"/>
    <row r="5743" ht="12.75" customHeight="1" x14ac:dyDescent="0.2"/>
    <row r="5744" ht="12.75" customHeight="1" x14ac:dyDescent="0.2"/>
    <row r="5745" ht="12.75" customHeight="1" x14ac:dyDescent="0.2"/>
    <row r="5746" ht="12.75" customHeight="1" x14ac:dyDescent="0.2"/>
    <row r="5747" ht="12.75" customHeight="1" x14ac:dyDescent="0.2"/>
    <row r="5748" ht="12.75" customHeight="1" x14ac:dyDescent="0.2"/>
    <row r="5749" ht="12.75" customHeight="1" x14ac:dyDescent="0.2"/>
    <row r="5750" ht="12.75" customHeight="1" x14ac:dyDescent="0.2"/>
    <row r="5751" ht="12.75" customHeight="1" x14ac:dyDescent="0.2"/>
    <row r="5752" ht="12.75" customHeight="1" x14ac:dyDescent="0.2"/>
    <row r="5753" ht="12.75" customHeight="1" x14ac:dyDescent="0.2"/>
    <row r="5754" ht="12.75" customHeight="1" x14ac:dyDescent="0.2"/>
    <row r="5755" ht="12.75" customHeight="1" x14ac:dyDescent="0.2"/>
    <row r="5756" ht="12.75" customHeight="1" x14ac:dyDescent="0.2"/>
    <row r="5757" ht="12.75" customHeight="1" x14ac:dyDescent="0.2"/>
    <row r="5758" ht="12.75" customHeight="1" x14ac:dyDescent="0.2"/>
    <row r="5759" ht="12.75" customHeight="1" x14ac:dyDescent="0.2"/>
    <row r="5760" ht="12.75" customHeight="1" x14ac:dyDescent="0.2"/>
    <row r="5761" ht="12.75" customHeight="1" x14ac:dyDescent="0.2"/>
    <row r="5762" ht="12.75" customHeight="1" x14ac:dyDescent="0.2"/>
    <row r="5763" ht="12.75" customHeight="1" x14ac:dyDescent="0.2"/>
    <row r="5764" ht="12.75" customHeight="1" x14ac:dyDescent="0.2"/>
    <row r="5765" ht="12.75" customHeight="1" x14ac:dyDescent="0.2"/>
    <row r="5766" ht="12.75" customHeight="1" x14ac:dyDescent="0.2"/>
    <row r="5767" ht="12.75" customHeight="1" x14ac:dyDescent="0.2"/>
    <row r="5768" ht="12.75" customHeight="1" x14ac:dyDescent="0.2"/>
    <row r="5769" ht="12.75" customHeight="1" x14ac:dyDescent="0.2"/>
    <row r="5770" ht="12.75" customHeight="1" x14ac:dyDescent="0.2"/>
    <row r="5771" ht="12.75" customHeight="1" x14ac:dyDescent="0.2"/>
    <row r="5772" ht="12.75" customHeight="1" x14ac:dyDescent="0.2"/>
    <row r="5773" ht="12.75" customHeight="1" x14ac:dyDescent="0.2"/>
    <row r="5774" ht="12.75" customHeight="1" x14ac:dyDescent="0.2"/>
    <row r="5775" ht="12.75" customHeight="1" x14ac:dyDescent="0.2"/>
    <row r="5776" ht="12.75" customHeight="1" x14ac:dyDescent="0.2"/>
    <row r="5777" ht="12.75" customHeight="1" x14ac:dyDescent="0.2"/>
    <row r="5778" ht="12.75" customHeight="1" x14ac:dyDescent="0.2"/>
    <row r="5779" ht="12.75" customHeight="1" x14ac:dyDescent="0.2"/>
    <row r="5780" ht="12.75" customHeight="1" x14ac:dyDescent="0.2"/>
    <row r="5781" ht="12.75" customHeight="1" x14ac:dyDescent="0.2"/>
    <row r="5782" ht="12.75" customHeight="1" x14ac:dyDescent="0.2"/>
    <row r="5783" ht="12.75" customHeight="1" x14ac:dyDescent="0.2"/>
    <row r="5784" ht="12.75" customHeight="1" x14ac:dyDescent="0.2"/>
    <row r="5785" ht="12.75" customHeight="1" x14ac:dyDescent="0.2"/>
    <row r="5786" ht="12.75" customHeight="1" x14ac:dyDescent="0.2"/>
    <row r="5787" ht="12.75" customHeight="1" x14ac:dyDescent="0.2"/>
    <row r="5788" ht="12.75" customHeight="1" x14ac:dyDescent="0.2"/>
    <row r="5789" ht="12.75" customHeight="1" x14ac:dyDescent="0.2"/>
    <row r="5790" ht="12.75" customHeight="1" x14ac:dyDescent="0.2"/>
    <row r="5791" ht="12.75" customHeight="1" x14ac:dyDescent="0.2"/>
    <row r="5792" ht="12.75" customHeight="1" x14ac:dyDescent="0.2"/>
    <row r="5793" ht="12.75" customHeight="1" x14ac:dyDescent="0.2"/>
    <row r="5794" ht="12.75" customHeight="1" x14ac:dyDescent="0.2"/>
    <row r="5795" ht="12.75" customHeight="1" x14ac:dyDescent="0.2"/>
    <row r="5796" ht="12.75" customHeight="1" x14ac:dyDescent="0.2"/>
    <row r="5797" ht="12.75" customHeight="1" x14ac:dyDescent="0.2"/>
    <row r="5798" ht="12.75" customHeight="1" x14ac:dyDescent="0.2"/>
    <row r="5799" ht="12.75" customHeight="1" x14ac:dyDescent="0.2"/>
    <row r="5800" ht="12.75" customHeight="1" x14ac:dyDescent="0.2"/>
    <row r="5801" ht="12.75" customHeight="1" x14ac:dyDescent="0.2"/>
    <row r="5802" ht="12.75" customHeight="1" x14ac:dyDescent="0.2"/>
    <row r="5803" ht="12.75" customHeight="1" x14ac:dyDescent="0.2"/>
    <row r="5804" ht="12.75" customHeight="1" x14ac:dyDescent="0.2"/>
    <row r="5805" ht="12.75" customHeight="1" x14ac:dyDescent="0.2"/>
    <row r="5806" ht="12.75" customHeight="1" x14ac:dyDescent="0.2"/>
    <row r="5807" ht="12.75" customHeight="1" x14ac:dyDescent="0.2"/>
    <row r="5808" ht="12.75" customHeight="1" x14ac:dyDescent="0.2"/>
    <row r="5809" ht="12.75" customHeight="1" x14ac:dyDescent="0.2"/>
    <row r="5810" ht="12.75" customHeight="1" x14ac:dyDescent="0.2"/>
    <row r="5811" ht="12.75" customHeight="1" x14ac:dyDescent="0.2"/>
    <row r="5812" ht="12.75" customHeight="1" x14ac:dyDescent="0.2"/>
    <row r="5813" ht="12.75" customHeight="1" x14ac:dyDescent="0.2"/>
    <row r="5814" ht="12.75" customHeight="1" x14ac:dyDescent="0.2"/>
    <row r="5815" ht="12.75" customHeight="1" x14ac:dyDescent="0.2"/>
    <row r="5816" ht="12.75" customHeight="1" x14ac:dyDescent="0.2"/>
    <row r="5817" ht="12.75" customHeight="1" x14ac:dyDescent="0.2"/>
    <row r="5818" ht="12.75" customHeight="1" x14ac:dyDescent="0.2"/>
    <row r="5819" ht="12.75" customHeight="1" x14ac:dyDescent="0.2"/>
    <row r="5820" ht="12.75" customHeight="1" x14ac:dyDescent="0.2"/>
    <row r="5821" ht="12.75" customHeight="1" x14ac:dyDescent="0.2"/>
    <row r="5822" ht="12.75" customHeight="1" x14ac:dyDescent="0.2"/>
    <row r="5823" ht="12.75" customHeight="1" x14ac:dyDescent="0.2"/>
    <row r="5824" ht="12.75" customHeight="1" x14ac:dyDescent="0.2"/>
    <row r="5825" ht="12.75" customHeight="1" x14ac:dyDescent="0.2"/>
    <row r="5826" ht="12.75" customHeight="1" x14ac:dyDescent="0.2"/>
    <row r="5827" ht="12.75" customHeight="1" x14ac:dyDescent="0.2"/>
    <row r="5828" ht="12.75" customHeight="1" x14ac:dyDescent="0.2"/>
    <row r="5829" ht="12.75" customHeight="1" x14ac:dyDescent="0.2"/>
    <row r="5830" ht="12.75" customHeight="1" x14ac:dyDescent="0.2"/>
    <row r="5831" ht="12.75" customHeight="1" x14ac:dyDescent="0.2"/>
    <row r="5832" ht="12.75" customHeight="1" x14ac:dyDescent="0.2"/>
    <row r="5833" ht="12.75" customHeight="1" x14ac:dyDescent="0.2"/>
    <row r="5834" ht="12.75" customHeight="1" x14ac:dyDescent="0.2"/>
    <row r="5835" ht="12.75" customHeight="1" x14ac:dyDescent="0.2"/>
    <row r="5836" ht="12.75" customHeight="1" x14ac:dyDescent="0.2"/>
    <row r="5837" ht="12.75" customHeight="1" x14ac:dyDescent="0.2"/>
    <row r="5838" ht="12.75" customHeight="1" x14ac:dyDescent="0.2"/>
    <row r="5839" ht="12.75" customHeight="1" x14ac:dyDescent="0.2"/>
    <row r="5840" ht="12.75" customHeight="1" x14ac:dyDescent="0.2"/>
    <row r="5841" ht="12.75" customHeight="1" x14ac:dyDescent="0.2"/>
    <row r="5842" ht="12.75" customHeight="1" x14ac:dyDescent="0.2"/>
    <row r="5843" ht="12.75" customHeight="1" x14ac:dyDescent="0.2"/>
    <row r="5844" ht="12.75" customHeight="1" x14ac:dyDescent="0.2"/>
    <row r="5845" ht="12.75" customHeight="1" x14ac:dyDescent="0.2"/>
    <row r="5846" ht="12.75" customHeight="1" x14ac:dyDescent="0.2"/>
    <row r="5847" ht="12.75" customHeight="1" x14ac:dyDescent="0.2"/>
    <row r="5848" ht="12.75" customHeight="1" x14ac:dyDescent="0.2"/>
    <row r="5849" ht="12.75" customHeight="1" x14ac:dyDescent="0.2"/>
    <row r="5850" ht="12.75" customHeight="1" x14ac:dyDescent="0.2"/>
    <row r="5851" ht="12.75" customHeight="1" x14ac:dyDescent="0.2"/>
    <row r="5852" ht="12.75" customHeight="1" x14ac:dyDescent="0.2"/>
    <row r="5853" ht="12.75" customHeight="1" x14ac:dyDescent="0.2"/>
    <row r="5854" ht="12.75" customHeight="1" x14ac:dyDescent="0.2"/>
    <row r="5855" ht="12.75" customHeight="1" x14ac:dyDescent="0.2"/>
    <row r="5856" ht="12.75" customHeight="1" x14ac:dyDescent="0.2"/>
    <row r="5857" ht="12.75" customHeight="1" x14ac:dyDescent="0.2"/>
    <row r="5858" ht="12.75" customHeight="1" x14ac:dyDescent="0.2"/>
    <row r="5859" ht="12.75" customHeight="1" x14ac:dyDescent="0.2"/>
    <row r="5860" ht="12.75" customHeight="1" x14ac:dyDescent="0.2"/>
    <row r="5861" ht="12.75" customHeight="1" x14ac:dyDescent="0.2"/>
    <row r="5862" ht="12.75" customHeight="1" x14ac:dyDescent="0.2"/>
    <row r="5863" ht="12.75" customHeight="1" x14ac:dyDescent="0.2"/>
    <row r="5864" ht="12.75" customHeight="1" x14ac:dyDescent="0.2"/>
    <row r="5865" ht="12.75" customHeight="1" x14ac:dyDescent="0.2"/>
    <row r="5866" ht="12.75" customHeight="1" x14ac:dyDescent="0.2"/>
    <row r="5867" ht="12.75" customHeight="1" x14ac:dyDescent="0.2"/>
    <row r="5868" ht="12.75" customHeight="1" x14ac:dyDescent="0.2"/>
    <row r="5869" ht="12.75" customHeight="1" x14ac:dyDescent="0.2"/>
    <row r="5870" ht="12.75" customHeight="1" x14ac:dyDescent="0.2"/>
    <row r="5871" ht="12.75" customHeight="1" x14ac:dyDescent="0.2"/>
    <row r="5872" ht="12.75" customHeight="1" x14ac:dyDescent="0.2"/>
    <row r="5873" ht="12.75" customHeight="1" x14ac:dyDescent="0.2"/>
    <row r="5874" ht="12.75" customHeight="1" x14ac:dyDescent="0.2"/>
    <row r="5875" ht="12.75" customHeight="1" x14ac:dyDescent="0.2"/>
    <row r="5876" ht="12.75" customHeight="1" x14ac:dyDescent="0.2"/>
    <row r="5877" ht="12.75" customHeight="1" x14ac:dyDescent="0.2"/>
    <row r="5878" ht="12.75" customHeight="1" x14ac:dyDescent="0.2"/>
    <row r="5879" ht="12.75" customHeight="1" x14ac:dyDescent="0.2"/>
    <row r="5880" ht="12.75" customHeight="1" x14ac:dyDescent="0.2"/>
    <row r="5881" ht="12.75" customHeight="1" x14ac:dyDescent="0.2"/>
    <row r="5882" ht="12.75" customHeight="1" x14ac:dyDescent="0.2"/>
    <row r="5883" ht="12.75" customHeight="1" x14ac:dyDescent="0.2"/>
    <row r="5884" ht="12.75" customHeight="1" x14ac:dyDescent="0.2"/>
    <row r="5885" ht="12.75" customHeight="1" x14ac:dyDescent="0.2"/>
    <row r="5886" ht="12.75" customHeight="1" x14ac:dyDescent="0.2"/>
    <row r="5887" ht="12.75" customHeight="1" x14ac:dyDescent="0.2"/>
    <row r="5888" ht="12.75" customHeight="1" x14ac:dyDescent="0.2"/>
    <row r="5889" ht="12.75" customHeight="1" x14ac:dyDescent="0.2"/>
    <row r="5890" ht="12.75" customHeight="1" x14ac:dyDescent="0.2"/>
    <row r="5891" ht="12.75" customHeight="1" x14ac:dyDescent="0.2"/>
    <row r="5892" ht="12.75" customHeight="1" x14ac:dyDescent="0.2"/>
    <row r="5893" ht="12.75" customHeight="1" x14ac:dyDescent="0.2"/>
    <row r="5894" ht="12.75" customHeight="1" x14ac:dyDescent="0.2"/>
    <row r="5895" ht="12.75" customHeight="1" x14ac:dyDescent="0.2"/>
    <row r="5896" ht="12.75" customHeight="1" x14ac:dyDescent="0.2"/>
    <row r="5897" ht="12.75" customHeight="1" x14ac:dyDescent="0.2"/>
    <row r="5898" ht="12.75" customHeight="1" x14ac:dyDescent="0.2"/>
    <row r="5899" ht="12.75" customHeight="1" x14ac:dyDescent="0.2"/>
    <row r="5900" ht="12.75" customHeight="1" x14ac:dyDescent="0.2"/>
    <row r="5901" ht="12.75" customHeight="1" x14ac:dyDescent="0.2"/>
    <row r="5902" ht="12.75" customHeight="1" x14ac:dyDescent="0.2"/>
    <row r="5903" ht="12.75" customHeight="1" x14ac:dyDescent="0.2"/>
    <row r="5904" ht="12.75" customHeight="1" x14ac:dyDescent="0.2"/>
    <row r="5905" ht="12.75" customHeight="1" x14ac:dyDescent="0.2"/>
    <row r="5906" ht="12.75" customHeight="1" x14ac:dyDescent="0.2"/>
    <row r="5907" ht="12.75" customHeight="1" x14ac:dyDescent="0.2"/>
    <row r="5908" ht="12.75" customHeight="1" x14ac:dyDescent="0.2"/>
    <row r="5909" ht="12.75" customHeight="1" x14ac:dyDescent="0.2"/>
    <row r="5910" ht="12.75" customHeight="1" x14ac:dyDescent="0.2"/>
    <row r="5911" ht="12.75" customHeight="1" x14ac:dyDescent="0.2"/>
    <row r="5912" ht="12.75" customHeight="1" x14ac:dyDescent="0.2"/>
    <row r="5913" ht="12.75" customHeight="1" x14ac:dyDescent="0.2"/>
    <row r="5914" ht="12.75" customHeight="1" x14ac:dyDescent="0.2"/>
    <row r="5915" ht="12.75" customHeight="1" x14ac:dyDescent="0.2"/>
    <row r="5916" ht="12.75" customHeight="1" x14ac:dyDescent="0.2"/>
    <row r="5917" ht="12.75" customHeight="1" x14ac:dyDescent="0.2"/>
    <row r="5918" ht="12.75" customHeight="1" x14ac:dyDescent="0.2"/>
    <row r="5919" ht="12.75" customHeight="1" x14ac:dyDescent="0.2"/>
    <row r="5920" ht="12.75" customHeight="1" x14ac:dyDescent="0.2"/>
    <row r="5921" ht="12.75" customHeight="1" x14ac:dyDescent="0.2"/>
    <row r="5922" ht="12.75" customHeight="1" x14ac:dyDescent="0.2"/>
    <row r="5923" ht="12.75" customHeight="1" x14ac:dyDescent="0.2"/>
    <row r="5924" ht="12.75" customHeight="1" x14ac:dyDescent="0.2"/>
    <row r="5925" ht="12.75" customHeight="1" x14ac:dyDescent="0.2"/>
    <row r="5926" ht="12.75" customHeight="1" x14ac:dyDescent="0.2"/>
    <row r="5927" ht="12.75" customHeight="1" x14ac:dyDescent="0.2"/>
    <row r="5928" ht="12.75" customHeight="1" x14ac:dyDescent="0.2"/>
    <row r="5929" ht="12.75" customHeight="1" x14ac:dyDescent="0.2"/>
    <row r="5930" ht="12.75" customHeight="1" x14ac:dyDescent="0.2"/>
    <row r="5931" ht="12.75" customHeight="1" x14ac:dyDescent="0.2"/>
    <row r="5932" ht="12.75" customHeight="1" x14ac:dyDescent="0.2"/>
    <row r="5933" ht="12.75" customHeight="1" x14ac:dyDescent="0.2"/>
    <row r="5934" ht="12.75" customHeight="1" x14ac:dyDescent="0.2"/>
    <row r="5935" ht="12.75" customHeight="1" x14ac:dyDescent="0.2"/>
    <row r="5936" ht="12.75" customHeight="1" x14ac:dyDescent="0.2"/>
    <row r="5937" ht="12.75" customHeight="1" x14ac:dyDescent="0.2"/>
    <row r="5938" ht="12.75" customHeight="1" x14ac:dyDescent="0.2"/>
    <row r="5939" ht="12.75" customHeight="1" x14ac:dyDescent="0.2"/>
    <row r="5940" ht="12.75" customHeight="1" x14ac:dyDescent="0.2"/>
    <row r="5941" ht="12.75" customHeight="1" x14ac:dyDescent="0.2"/>
    <row r="5942" ht="12.75" customHeight="1" x14ac:dyDescent="0.2"/>
    <row r="5943" ht="12.75" customHeight="1" x14ac:dyDescent="0.2"/>
    <row r="5944" ht="12.75" customHeight="1" x14ac:dyDescent="0.2"/>
    <row r="5945" ht="12.75" customHeight="1" x14ac:dyDescent="0.2"/>
    <row r="5946" ht="12.75" customHeight="1" x14ac:dyDescent="0.2"/>
    <row r="5947" ht="12.75" customHeight="1" x14ac:dyDescent="0.2"/>
    <row r="5948" ht="12.75" customHeight="1" x14ac:dyDescent="0.2"/>
    <row r="5949" ht="12.75" customHeight="1" x14ac:dyDescent="0.2"/>
    <row r="5950" ht="12.75" customHeight="1" x14ac:dyDescent="0.2"/>
    <row r="5951" ht="12.75" customHeight="1" x14ac:dyDescent="0.2"/>
    <row r="5952" ht="12.75" customHeight="1" x14ac:dyDescent="0.2"/>
    <row r="5953" ht="12.75" customHeight="1" x14ac:dyDescent="0.2"/>
    <row r="5954" ht="12.75" customHeight="1" x14ac:dyDescent="0.2"/>
    <row r="5955" ht="12.75" customHeight="1" x14ac:dyDescent="0.2"/>
    <row r="5956" ht="12.75" customHeight="1" x14ac:dyDescent="0.2"/>
    <row r="5957" ht="12.75" customHeight="1" x14ac:dyDescent="0.2"/>
    <row r="5958" ht="12.75" customHeight="1" x14ac:dyDescent="0.2"/>
    <row r="5959" ht="12.75" customHeight="1" x14ac:dyDescent="0.2"/>
    <row r="5960" ht="12.75" customHeight="1" x14ac:dyDescent="0.2"/>
    <row r="5961" ht="12.75" customHeight="1" x14ac:dyDescent="0.2"/>
    <row r="5962" ht="12.75" customHeight="1" x14ac:dyDescent="0.2"/>
    <row r="5963" ht="12.75" customHeight="1" x14ac:dyDescent="0.2"/>
    <row r="5964" ht="12.75" customHeight="1" x14ac:dyDescent="0.2"/>
    <row r="5965" ht="12.75" customHeight="1" x14ac:dyDescent="0.2"/>
    <row r="5966" ht="12.75" customHeight="1" x14ac:dyDescent="0.2"/>
    <row r="5967" ht="12.75" customHeight="1" x14ac:dyDescent="0.2"/>
    <row r="5968" ht="12.75" customHeight="1" x14ac:dyDescent="0.2"/>
    <row r="5969" ht="12.75" customHeight="1" x14ac:dyDescent="0.2"/>
    <row r="5970" ht="12.75" customHeight="1" x14ac:dyDescent="0.2"/>
    <row r="5971" ht="12.75" customHeight="1" x14ac:dyDescent="0.2"/>
    <row r="5972" ht="12.75" customHeight="1" x14ac:dyDescent="0.2"/>
    <row r="5973" ht="12.75" customHeight="1" x14ac:dyDescent="0.2"/>
    <row r="5974" ht="12.75" customHeight="1" x14ac:dyDescent="0.2"/>
    <row r="5975" ht="12.75" customHeight="1" x14ac:dyDescent="0.2"/>
    <row r="5976" ht="12.75" customHeight="1" x14ac:dyDescent="0.2"/>
    <row r="5977" ht="12.75" customHeight="1" x14ac:dyDescent="0.2"/>
    <row r="5978" ht="12.75" customHeight="1" x14ac:dyDescent="0.2"/>
    <row r="5979" ht="12.75" customHeight="1" x14ac:dyDescent="0.2"/>
    <row r="5980" ht="12.75" customHeight="1" x14ac:dyDescent="0.2"/>
    <row r="5981" ht="12.75" customHeight="1" x14ac:dyDescent="0.2"/>
    <row r="5982" ht="12.75" customHeight="1" x14ac:dyDescent="0.2"/>
    <row r="5983" ht="12.75" customHeight="1" x14ac:dyDescent="0.2"/>
    <row r="5984" ht="12.75" customHeight="1" x14ac:dyDescent="0.2"/>
    <row r="5985" ht="12.75" customHeight="1" x14ac:dyDescent="0.2"/>
    <row r="5986" ht="12.75" customHeight="1" x14ac:dyDescent="0.2"/>
    <row r="5987" ht="12.75" customHeight="1" x14ac:dyDescent="0.2"/>
    <row r="5988" ht="12.75" customHeight="1" x14ac:dyDescent="0.2"/>
    <row r="5989" ht="12.75" customHeight="1" x14ac:dyDescent="0.2"/>
    <row r="5990" ht="12.75" customHeight="1" x14ac:dyDescent="0.2"/>
    <row r="5991" ht="12.75" customHeight="1" x14ac:dyDescent="0.2"/>
    <row r="5992" ht="12.75" customHeight="1" x14ac:dyDescent="0.2"/>
    <row r="5993" ht="12.75" customHeight="1" x14ac:dyDescent="0.2"/>
    <row r="5994" ht="12.75" customHeight="1" x14ac:dyDescent="0.2"/>
    <row r="5995" ht="12.75" customHeight="1" x14ac:dyDescent="0.2"/>
    <row r="5996" ht="12.75" customHeight="1" x14ac:dyDescent="0.2"/>
    <row r="5997" ht="12.75" customHeight="1" x14ac:dyDescent="0.2"/>
    <row r="5998" ht="12.75" customHeight="1" x14ac:dyDescent="0.2"/>
    <row r="5999" ht="12.75" customHeight="1" x14ac:dyDescent="0.2"/>
    <row r="6000" ht="12.75" customHeight="1" x14ac:dyDescent="0.2"/>
    <row r="6001" ht="12.75" customHeight="1" x14ac:dyDescent="0.2"/>
    <row r="6002" ht="12.75" customHeight="1" x14ac:dyDescent="0.2"/>
    <row r="6003" ht="12.75" customHeight="1" x14ac:dyDescent="0.2"/>
    <row r="6004" ht="12.75" customHeight="1" x14ac:dyDescent="0.2"/>
    <row r="6005" ht="12.75" customHeight="1" x14ac:dyDescent="0.2"/>
    <row r="6006" ht="12.75" customHeight="1" x14ac:dyDescent="0.2"/>
    <row r="6007" ht="12.75" customHeight="1" x14ac:dyDescent="0.2"/>
    <row r="6008" ht="12.75" customHeight="1" x14ac:dyDescent="0.2"/>
    <row r="6009" ht="12.75" customHeight="1" x14ac:dyDescent="0.2"/>
    <row r="6010" ht="12.75" customHeight="1" x14ac:dyDescent="0.2"/>
    <row r="6011" ht="12.75" customHeight="1" x14ac:dyDescent="0.2"/>
    <row r="6012" ht="12.75" customHeight="1" x14ac:dyDescent="0.2"/>
    <row r="6013" ht="12.75" customHeight="1" x14ac:dyDescent="0.2"/>
    <row r="6014" ht="12.75" customHeight="1" x14ac:dyDescent="0.2"/>
    <row r="6015" ht="12.75" customHeight="1" x14ac:dyDescent="0.2"/>
    <row r="6016" ht="12.75" customHeight="1" x14ac:dyDescent="0.2"/>
    <row r="6017" ht="12.75" customHeight="1" x14ac:dyDescent="0.2"/>
    <row r="6018" ht="12.75" customHeight="1" x14ac:dyDescent="0.2"/>
    <row r="6019" ht="12.75" customHeight="1" x14ac:dyDescent="0.2"/>
    <row r="6020" ht="12.75" customHeight="1" x14ac:dyDescent="0.2"/>
    <row r="6021" ht="12.75" customHeight="1" x14ac:dyDescent="0.2"/>
    <row r="6022" ht="12.75" customHeight="1" x14ac:dyDescent="0.2"/>
    <row r="6023" ht="12.75" customHeight="1" x14ac:dyDescent="0.2"/>
    <row r="6024" ht="12.75" customHeight="1" x14ac:dyDescent="0.2"/>
    <row r="6025" ht="12.75" customHeight="1" x14ac:dyDescent="0.2"/>
    <row r="6026" ht="12.75" customHeight="1" x14ac:dyDescent="0.2"/>
    <row r="6027" ht="12.75" customHeight="1" x14ac:dyDescent="0.2"/>
    <row r="6028" ht="12.75" customHeight="1" x14ac:dyDescent="0.2"/>
    <row r="6029" ht="12.75" customHeight="1" x14ac:dyDescent="0.2"/>
    <row r="6030" ht="12.75" customHeight="1" x14ac:dyDescent="0.2"/>
    <row r="6031" ht="12.75" customHeight="1" x14ac:dyDescent="0.2"/>
    <row r="6032" ht="12.75" customHeight="1" x14ac:dyDescent="0.2"/>
    <row r="6033" ht="12.75" customHeight="1" x14ac:dyDescent="0.2"/>
    <row r="6034" ht="12.75" customHeight="1" x14ac:dyDescent="0.2"/>
    <row r="6035" ht="12.75" customHeight="1" x14ac:dyDescent="0.2"/>
    <row r="6036" ht="12.75" customHeight="1" x14ac:dyDescent="0.2"/>
    <row r="6037" ht="12.75" customHeight="1" x14ac:dyDescent="0.2"/>
    <row r="6038" ht="12.75" customHeight="1" x14ac:dyDescent="0.2"/>
    <row r="6039" ht="12.75" customHeight="1" x14ac:dyDescent="0.2"/>
    <row r="6040" ht="12.75" customHeight="1" x14ac:dyDescent="0.2"/>
    <row r="6041" ht="12.75" customHeight="1" x14ac:dyDescent="0.2"/>
    <row r="6042" ht="12.75" customHeight="1" x14ac:dyDescent="0.2"/>
    <row r="6043" ht="12.75" customHeight="1" x14ac:dyDescent="0.2"/>
    <row r="6044" ht="12.75" customHeight="1" x14ac:dyDescent="0.2"/>
    <row r="6045" ht="12.75" customHeight="1" x14ac:dyDescent="0.2"/>
    <row r="6046" ht="12.75" customHeight="1" x14ac:dyDescent="0.2"/>
    <row r="6047" ht="12.75" customHeight="1" x14ac:dyDescent="0.2"/>
    <row r="6048" ht="12.75" customHeight="1" x14ac:dyDescent="0.2"/>
    <row r="6049" ht="12.75" customHeight="1" x14ac:dyDescent="0.2"/>
    <row r="6050" ht="12.75" customHeight="1" x14ac:dyDescent="0.2"/>
    <row r="6051" ht="12.75" customHeight="1" x14ac:dyDescent="0.2"/>
    <row r="6052" ht="12.75" customHeight="1" x14ac:dyDescent="0.2"/>
    <row r="6053" ht="12.75" customHeight="1" x14ac:dyDescent="0.2"/>
    <row r="6054" ht="12.75" customHeight="1" x14ac:dyDescent="0.2"/>
    <row r="6055" ht="12.75" customHeight="1" x14ac:dyDescent="0.2"/>
    <row r="6056" ht="12.75" customHeight="1" x14ac:dyDescent="0.2"/>
    <row r="6057" ht="12.75" customHeight="1" x14ac:dyDescent="0.2"/>
    <row r="6058" ht="12.75" customHeight="1" x14ac:dyDescent="0.2"/>
    <row r="6059" ht="12.75" customHeight="1" x14ac:dyDescent="0.2"/>
    <row r="6060" ht="12.75" customHeight="1" x14ac:dyDescent="0.2"/>
    <row r="6061" ht="12.75" customHeight="1" x14ac:dyDescent="0.2"/>
    <row r="6062" ht="12.75" customHeight="1" x14ac:dyDescent="0.2"/>
    <row r="6063" ht="12.75" customHeight="1" x14ac:dyDescent="0.2"/>
    <row r="6064" ht="12.75" customHeight="1" x14ac:dyDescent="0.2"/>
    <row r="6065" ht="12.75" customHeight="1" x14ac:dyDescent="0.2"/>
    <row r="6066" ht="12.75" customHeight="1" x14ac:dyDescent="0.2"/>
    <row r="6067" ht="12.75" customHeight="1" x14ac:dyDescent="0.2"/>
    <row r="6068" ht="12.75" customHeight="1" x14ac:dyDescent="0.2"/>
    <row r="6069" ht="12.75" customHeight="1" x14ac:dyDescent="0.2"/>
    <row r="6070" ht="12.75" customHeight="1" x14ac:dyDescent="0.2"/>
    <row r="6071" ht="12.75" customHeight="1" x14ac:dyDescent="0.2"/>
    <row r="6072" ht="12.75" customHeight="1" x14ac:dyDescent="0.2"/>
    <row r="6073" ht="12.75" customHeight="1" x14ac:dyDescent="0.2"/>
    <row r="6074" ht="12.75" customHeight="1" x14ac:dyDescent="0.2"/>
    <row r="6075" ht="12.75" customHeight="1" x14ac:dyDescent="0.2"/>
    <row r="6076" ht="12.75" customHeight="1" x14ac:dyDescent="0.2"/>
    <row r="6077" ht="12.75" customHeight="1" x14ac:dyDescent="0.2"/>
    <row r="6078" ht="12.75" customHeight="1" x14ac:dyDescent="0.2"/>
    <row r="6079" ht="12.75" customHeight="1" x14ac:dyDescent="0.2"/>
    <row r="6080" ht="12.75" customHeight="1" x14ac:dyDescent="0.2"/>
    <row r="6081" ht="12.75" customHeight="1" x14ac:dyDescent="0.2"/>
    <row r="6082" ht="12.75" customHeight="1" x14ac:dyDescent="0.2"/>
    <row r="6083" ht="12.75" customHeight="1" x14ac:dyDescent="0.2"/>
    <row r="6084" ht="12.75" customHeight="1" x14ac:dyDescent="0.2"/>
    <row r="6085" ht="12.75" customHeight="1" x14ac:dyDescent="0.2"/>
    <row r="6086" ht="12.75" customHeight="1" x14ac:dyDescent="0.2"/>
    <row r="6087" ht="12.75" customHeight="1" x14ac:dyDescent="0.2"/>
    <row r="6088" ht="12.75" customHeight="1" x14ac:dyDescent="0.2"/>
    <row r="6089" ht="12.75" customHeight="1" x14ac:dyDescent="0.2"/>
    <row r="6090" ht="12.75" customHeight="1" x14ac:dyDescent="0.2"/>
    <row r="6091" ht="12.75" customHeight="1" x14ac:dyDescent="0.2"/>
    <row r="6092" ht="12.75" customHeight="1" x14ac:dyDescent="0.2"/>
    <row r="6093" ht="12.75" customHeight="1" x14ac:dyDescent="0.2"/>
    <row r="6094" ht="12.75" customHeight="1" x14ac:dyDescent="0.2"/>
    <row r="6095" ht="12.75" customHeight="1" x14ac:dyDescent="0.2"/>
    <row r="6096" ht="12.75" customHeight="1" x14ac:dyDescent="0.2"/>
    <row r="6097" ht="12.75" customHeight="1" x14ac:dyDescent="0.2"/>
    <row r="6098" ht="12.75" customHeight="1" x14ac:dyDescent="0.2"/>
    <row r="6099" ht="12.75" customHeight="1" x14ac:dyDescent="0.2"/>
    <row r="6100" ht="12.75" customHeight="1" x14ac:dyDescent="0.2"/>
    <row r="6101" ht="12.75" customHeight="1" x14ac:dyDescent="0.2"/>
    <row r="6102" ht="12.75" customHeight="1" x14ac:dyDescent="0.2"/>
    <row r="6103" ht="12.75" customHeight="1" x14ac:dyDescent="0.2"/>
    <row r="6104" ht="12.75" customHeight="1" x14ac:dyDescent="0.2"/>
    <row r="6105" ht="12.75" customHeight="1" x14ac:dyDescent="0.2"/>
    <row r="6106" ht="12.75" customHeight="1" x14ac:dyDescent="0.2"/>
    <row r="6107" ht="12.75" customHeight="1" x14ac:dyDescent="0.2"/>
    <row r="6108" ht="12.75" customHeight="1" x14ac:dyDescent="0.2"/>
    <row r="6109" ht="12.75" customHeight="1" x14ac:dyDescent="0.2"/>
    <row r="6110" ht="12.75" customHeight="1" x14ac:dyDescent="0.2"/>
    <row r="6111" ht="12.75" customHeight="1" x14ac:dyDescent="0.2"/>
    <row r="6112" ht="12.75" customHeight="1" x14ac:dyDescent="0.2"/>
    <row r="6113" ht="12.75" customHeight="1" x14ac:dyDescent="0.2"/>
    <row r="6114" ht="12.75" customHeight="1" x14ac:dyDescent="0.2"/>
    <row r="6115" ht="12.75" customHeight="1" x14ac:dyDescent="0.2"/>
    <row r="6116" ht="12.75" customHeight="1" x14ac:dyDescent="0.2"/>
    <row r="6117" ht="12.75" customHeight="1" x14ac:dyDescent="0.2"/>
    <row r="6118" ht="12.75" customHeight="1" x14ac:dyDescent="0.2"/>
    <row r="6119" ht="12.75" customHeight="1" x14ac:dyDescent="0.2"/>
    <row r="6120" ht="12.75" customHeight="1" x14ac:dyDescent="0.2"/>
    <row r="6121" ht="12.75" customHeight="1" x14ac:dyDescent="0.2"/>
    <row r="6122" ht="12.75" customHeight="1" x14ac:dyDescent="0.2"/>
    <row r="6123" ht="12.75" customHeight="1" x14ac:dyDescent="0.2"/>
    <row r="6124" ht="12.75" customHeight="1" x14ac:dyDescent="0.2"/>
    <row r="6125" ht="12.75" customHeight="1" x14ac:dyDescent="0.2"/>
    <row r="6126" ht="12.75" customHeight="1" x14ac:dyDescent="0.2"/>
    <row r="6127" ht="12.75" customHeight="1" x14ac:dyDescent="0.2"/>
    <row r="6128" ht="12.75" customHeight="1" x14ac:dyDescent="0.2"/>
    <row r="6129" ht="12.75" customHeight="1" x14ac:dyDescent="0.2"/>
    <row r="6130" ht="12.75" customHeight="1" x14ac:dyDescent="0.2"/>
    <row r="6131" ht="12.75" customHeight="1" x14ac:dyDescent="0.2"/>
    <row r="6132" ht="12.75" customHeight="1" x14ac:dyDescent="0.2"/>
    <row r="6133" ht="12.75" customHeight="1" x14ac:dyDescent="0.2"/>
    <row r="6134" ht="12.75" customHeight="1" x14ac:dyDescent="0.2"/>
    <row r="6135" ht="12.75" customHeight="1" x14ac:dyDescent="0.2"/>
    <row r="6136" ht="12.75" customHeight="1" x14ac:dyDescent="0.2"/>
    <row r="6137" ht="12.75" customHeight="1" x14ac:dyDescent="0.2"/>
    <row r="6138" ht="12.75" customHeight="1" x14ac:dyDescent="0.2"/>
    <row r="6139" ht="12.75" customHeight="1" x14ac:dyDescent="0.2"/>
    <row r="6140" ht="12.75" customHeight="1" x14ac:dyDescent="0.2"/>
    <row r="6141" ht="12.75" customHeight="1" x14ac:dyDescent="0.2"/>
    <row r="6142" ht="12.75" customHeight="1" x14ac:dyDescent="0.2"/>
    <row r="6143" ht="12.75" customHeight="1" x14ac:dyDescent="0.2"/>
    <row r="6144" ht="12.75" customHeight="1" x14ac:dyDescent="0.2"/>
    <row r="6145" ht="12.75" customHeight="1" x14ac:dyDescent="0.2"/>
    <row r="6146" ht="12.75" customHeight="1" x14ac:dyDescent="0.2"/>
    <row r="6147" ht="12.75" customHeight="1" x14ac:dyDescent="0.2"/>
    <row r="6148" ht="12.75" customHeight="1" x14ac:dyDescent="0.2"/>
    <row r="6149" ht="12.75" customHeight="1" x14ac:dyDescent="0.2"/>
    <row r="6150" ht="12.75" customHeight="1" x14ac:dyDescent="0.2"/>
    <row r="6151" ht="12.75" customHeight="1" x14ac:dyDescent="0.2"/>
    <row r="6152" ht="12.75" customHeight="1" x14ac:dyDescent="0.2"/>
    <row r="6153" ht="12.75" customHeight="1" x14ac:dyDescent="0.2"/>
    <row r="6154" ht="12.75" customHeight="1" x14ac:dyDescent="0.2"/>
    <row r="6155" ht="12.75" customHeight="1" x14ac:dyDescent="0.2"/>
    <row r="6156" ht="12.75" customHeight="1" x14ac:dyDescent="0.2"/>
    <row r="6157" ht="12.75" customHeight="1" x14ac:dyDescent="0.2"/>
    <row r="6158" ht="12.75" customHeight="1" x14ac:dyDescent="0.2"/>
    <row r="6159" ht="12.75" customHeight="1" x14ac:dyDescent="0.2"/>
    <row r="6160" ht="12.75" customHeight="1" x14ac:dyDescent="0.2"/>
    <row r="6161" ht="12.75" customHeight="1" x14ac:dyDescent="0.2"/>
    <row r="6162" ht="12.75" customHeight="1" x14ac:dyDescent="0.2"/>
    <row r="6163" ht="12.75" customHeight="1" x14ac:dyDescent="0.2"/>
    <row r="6164" ht="12.75" customHeight="1" x14ac:dyDescent="0.2"/>
    <row r="6165" ht="12.75" customHeight="1" x14ac:dyDescent="0.2"/>
    <row r="6166" ht="12.75" customHeight="1" x14ac:dyDescent="0.2"/>
    <row r="6167" ht="12.75" customHeight="1" x14ac:dyDescent="0.2"/>
    <row r="6168" ht="12.75" customHeight="1" x14ac:dyDescent="0.2"/>
    <row r="6169" ht="12.75" customHeight="1" x14ac:dyDescent="0.2"/>
    <row r="6170" ht="12.75" customHeight="1" x14ac:dyDescent="0.2"/>
    <row r="6171" ht="12.75" customHeight="1" x14ac:dyDescent="0.2"/>
    <row r="6172" ht="12.75" customHeight="1" x14ac:dyDescent="0.2"/>
    <row r="6173" ht="12.75" customHeight="1" x14ac:dyDescent="0.2"/>
    <row r="6174" ht="12.75" customHeight="1" x14ac:dyDescent="0.2"/>
    <row r="6175" ht="12.75" customHeight="1" x14ac:dyDescent="0.2"/>
    <row r="6176" ht="12.75" customHeight="1" x14ac:dyDescent="0.2"/>
    <row r="6177" ht="12.75" customHeight="1" x14ac:dyDescent="0.2"/>
    <row r="6178" ht="12.75" customHeight="1" x14ac:dyDescent="0.2"/>
    <row r="6179" ht="12.75" customHeight="1" x14ac:dyDescent="0.2"/>
    <row r="6180" ht="12.75" customHeight="1" x14ac:dyDescent="0.2"/>
    <row r="6181" ht="12.75" customHeight="1" x14ac:dyDescent="0.2"/>
    <row r="6182" ht="12.75" customHeight="1" x14ac:dyDescent="0.2"/>
    <row r="6183" ht="12.75" customHeight="1" x14ac:dyDescent="0.2"/>
    <row r="6184" ht="12.75" customHeight="1" x14ac:dyDescent="0.2"/>
    <row r="6185" ht="12.75" customHeight="1" x14ac:dyDescent="0.2"/>
    <row r="6186" ht="12.75" customHeight="1" x14ac:dyDescent="0.2"/>
    <row r="6187" ht="12.75" customHeight="1" x14ac:dyDescent="0.2"/>
    <row r="6188" ht="12.75" customHeight="1" x14ac:dyDescent="0.2"/>
    <row r="6189" ht="12.75" customHeight="1" x14ac:dyDescent="0.2"/>
    <row r="6190" ht="12.75" customHeight="1" x14ac:dyDescent="0.2"/>
    <row r="6191" ht="12.75" customHeight="1" x14ac:dyDescent="0.2"/>
    <row r="6192" ht="12.75" customHeight="1" x14ac:dyDescent="0.2"/>
    <row r="6193" ht="12.75" customHeight="1" x14ac:dyDescent="0.2"/>
    <row r="6194" ht="12.75" customHeight="1" x14ac:dyDescent="0.2"/>
    <row r="6195" ht="12.75" customHeight="1" x14ac:dyDescent="0.2"/>
    <row r="6196" ht="12.75" customHeight="1" x14ac:dyDescent="0.2"/>
    <row r="6197" ht="12.75" customHeight="1" x14ac:dyDescent="0.2"/>
    <row r="6198" ht="12.75" customHeight="1" x14ac:dyDescent="0.2"/>
    <row r="6199" ht="12.75" customHeight="1" x14ac:dyDescent="0.2"/>
    <row r="6200" ht="12.75" customHeight="1" x14ac:dyDescent="0.2"/>
    <row r="6201" ht="12.75" customHeight="1" x14ac:dyDescent="0.2"/>
    <row r="6202" ht="12.75" customHeight="1" x14ac:dyDescent="0.2"/>
    <row r="6203" ht="12.75" customHeight="1" x14ac:dyDescent="0.2"/>
    <row r="6204" ht="12.75" customHeight="1" x14ac:dyDescent="0.2"/>
    <row r="6205" ht="12.75" customHeight="1" x14ac:dyDescent="0.2"/>
    <row r="6206" ht="12.75" customHeight="1" x14ac:dyDescent="0.2"/>
    <row r="6207" ht="12.75" customHeight="1" x14ac:dyDescent="0.2"/>
    <row r="6208" ht="12.75" customHeight="1" x14ac:dyDescent="0.2"/>
    <row r="6209" ht="12.75" customHeight="1" x14ac:dyDescent="0.2"/>
    <row r="6210" ht="12.75" customHeight="1" x14ac:dyDescent="0.2"/>
    <row r="6211" ht="12.75" customHeight="1" x14ac:dyDescent="0.2"/>
    <row r="6212" ht="12.75" customHeight="1" x14ac:dyDescent="0.2"/>
    <row r="6213" ht="12.75" customHeight="1" x14ac:dyDescent="0.2"/>
    <row r="6214" ht="12.75" customHeight="1" x14ac:dyDescent="0.2"/>
    <row r="6215" ht="12.75" customHeight="1" x14ac:dyDescent="0.2"/>
    <row r="6216" ht="12.75" customHeight="1" x14ac:dyDescent="0.2"/>
    <row r="6217" ht="12.75" customHeight="1" x14ac:dyDescent="0.2"/>
    <row r="6218" ht="12.75" customHeight="1" x14ac:dyDescent="0.2"/>
    <row r="6219" ht="12.75" customHeight="1" x14ac:dyDescent="0.2"/>
    <row r="6220" ht="12.75" customHeight="1" x14ac:dyDescent="0.2"/>
    <row r="6221" ht="12.75" customHeight="1" x14ac:dyDescent="0.2"/>
    <row r="6222" ht="12.75" customHeight="1" x14ac:dyDescent="0.2"/>
    <row r="6223" ht="12.75" customHeight="1" x14ac:dyDescent="0.2"/>
    <row r="6224" ht="12.75" customHeight="1" x14ac:dyDescent="0.2"/>
    <row r="6225" ht="12.75" customHeight="1" x14ac:dyDescent="0.2"/>
    <row r="6226" ht="12.75" customHeight="1" x14ac:dyDescent="0.2"/>
    <row r="6227" ht="12.75" customHeight="1" x14ac:dyDescent="0.2"/>
    <row r="6228" ht="12.75" customHeight="1" x14ac:dyDescent="0.2"/>
    <row r="6229" ht="12.75" customHeight="1" x14ac:dyDescent="0.2"/>
    <row r="6230" ht="12.75" customHeight="1" x14ac:dyDescent="0.2"/>
    <row r="6231" ht="12.75" customHeight="1" x14ac:dyDescent="0.2"/>
    <row r="6232" ht="12.75" customHeight="1" x14ac:dyDescent="0.2"/>
    <row r="6233" ht="12.75" customHeight="1" x14ac:dyDescent="0.2"/>
    <row r="6234" ht="12.75" customHeight="1" x14ac:dyDescent="0.2"/>
    <row r="6235" ht="12.75" customHeight="1" x14ac:dyDescent="0.2"/>
    <row r="6236" ht="12.75" customHeight="1" x14ac:dyDescent="0.2"/>
    <row r="6237" ht="12.75" customHeight="1" x14ac:dyDescent="0.2"/>
    <row r="6238" ht="12.75" customHeight="1" x14ac:dyDescent="0.2"/>
    <row r="6239" ht="12.75" customHeight="1" x14ac:dyDescent="0.2"/>
    <row r="6240" ht="12.75" customHeight="1" x14ac:dyDescent="0.2"/>
    <row r="6241" ht="12.75" customHeight="1" x14ac:dyDescent="0.2"/>
    <row r="6242" ht="12.75" customHeight="1" x14ac:dyDescent="0.2"/>
    <row r="6243" ht="12.75" customHeight="1" x14ac:dyDescent="0.2"/>
    <row r="6244" ht="12.75" customHeight="1" x14ac:dyDescent="0.2"/>
    <row r="6245" ht="12.75" customHeight="1" x14ac:dyDescent="0.2"/>
    <row r="6246" ht="12.75" customHeight="1" x14ac:dyDescent="0.2"/>
    <row r="6247" ht="12.75" customHeight="1" x14ac:dyDescent="0.2"/>
    <row r="6248" ht="12.75" customHeight="1" x14ac:dyDescent="0.2"/>
    <row r="6249" ht="12.75" customHeight="1" x14ac:dyDescent="0.2"/>
    <row r="6250" ht="12.75" customHeight="1" x14ac:dyDescent="0.2"/>
    <row r="6251" ht="12.75" customHeight="1" x14ac:dyDescent="0.2"/>
    <row r="6252" ht="12.75" customHeight="1" x14ac:dyDescent="0.2"/>
    <row r="6253" ht="12.75" customHeight="1" x14ac:dyDescent="0.2"/>
    <row r="6254" ht="12.75" customHeight="1" x14ac:dyDescent="0.2"/>
    <row r="6255" ht="12.75" customHeight="1" x14ac:dyDescent="0.2"/>
    <row r="6256" ht="12.75" customHeight="1" x14ac:dyDescent="0.2"/>
    <row r="6257" ht="12.75" customHeight="1" x14ac:dyDescent="0.2"/>
    <row r="6258" ht="12.75" customHeight="1" x14ac:dyDescent="0.2"/>
    <row r="6259" ht="12.75" customHeight="1" x14ac:dyDescent="0.2"/>
    <row r="6260" ht="12.75" customHeight="1" x14ac:dyDescent="0.2"/>
    <row r="6261" ht="12.75" customHeight="1" x14ac:dyDescent="0.2"/>
    <row r="6262" ht="12.75" customHeight="1" x14ac:dyDescent="0.2"/>
    <row r="6263" ht="12.75" customHeight="1" x14ac:dyDescent="0.2"/>
    <row r="6264" ht="12.75" customHeight="1" x14ac:dyDescent="0.2"/>
    <row r="6265" ht="12.75" customHeight="1" x14ac:dyDescent="0.2"/>
    <row r="6266" ht="12.75" customHeight="1" x14ac:dyDescent="0.2"/>
    <row r="6267" ht="12.75" customHeight="1" x14ac:dyDescent="0.2"/>
    <row r="6268" ht="12.75" customHeight="1" x14ac:dyDescent="0.2"/>
    <row r="6269" ht="12.75" customHeight="1" x14ac:dyDescent="0.2"/>
    <row r="6270" ht="12.75" customHeight="1" x14ac:dyDescent="0.2"/>
    <row r="6271" ht="12.75" customHeight="1" x14ac:dyDescent="0.2"/>
    <row r="6272" ht="12.75" customHeight="1" x14ac:dyDescent="0.2"/>
    <row r="6273" ht="12.75" customHeight="1" x14ac:dyDescent="0.2"/>
    <row r="6274" ht="12.75" customHeight="1" x14ac:dyDescent="0.2"/>
    <row r="6275" ht="12.75" customHeight="1" x14ac:dyDescent="0.2"/>
    <row r="6276" ht="12.75" customHeight="1" x14ac:dyDescent="0.2"/>
    <row r="6277" ht="12.75" customHeight="1" x14ac:dyDescent="0.2"/>
    <row r="6278" ht="12.75" customHeight="1" x14ac:dyDescent="0.2"/>
    <row r="6279" ht="12.75" customHeight="1" x14ac:dyDescent="0.2"/>
    <row r="6280" ht="12.75" customHeight="1" x14ac:dyDescent="0.2"/>
    <row r="6281" ht="12.75" customHeight="1" x14ac:dyDescent="0.2"/>
    <row r="6282" ht="12.75" customHeight="1" x14ac:dyDescent="0.2"/>
    <row r="6283" ht="12.75" customHeight="1" x14ac:dyDescent="0.2"/>
    <row r="6284" ht="12.75" customHeight="1" x14ac:dyDescent="0.2"/>
    <row r="6285" ht="12.75" customHeight="1" x14ac:dyDescent="0.2"/>
    <row r="6286" ht="12.75" customHeight="1" x14ac:dyDescent="0.2"/>
    <row r="6287" ht="12.75" customHeight="1" x14ac:dyDescent="0.2"/>
    <row r="6288" ht="12.75" customHeight="1" x14ac:dyDescent="0.2"/>
    <row r="6289" ht="12.75" customHeight="1" x14ac:dyDescent="0.2"/>
    <row r="6290" ht="12.75" customHeight="1" x14ac:dyDescent="0.2"/>
    <row r="6291" ht="12.75" customHeight="1" x14ac:dyDescent="0.2"/>
    <row r="6292" ht="12.75" customHeight="1" x14ac:dyDescent="0.2"/>
    <row r="6293" ht="12.75" customHeight="1" x14ac:dyDescent="0.2"/>
    <row r="6294" ht="12.75" customHeight="1" x14ac:dyDescent="0.2"/>
    <row r="6295" ht="12.75" customHeight="1" x14ac:dyDescent="0.2"/>
    <row r="6296" ht="12.75" customHeight="1" x14ac:dyDescent="0.2"/>
    <row r="6297" ht="12.75" customHeight="1" x14ac:dyDescent="0.2"/>
    <row r="6298" ht="12.75" customHeight="1" x14ac:dyDescent="0.2"/>
    <row r="6299" ht="12.75" customHeight="1" x14ac:dyDescent="0.2"/>
    <row r="6300" ht="12.75" customHeight="1" x14ac:dyDescent="0.2"/>
    <row r="6301" ht="12.75" customHeight="1" x14ac:dyDescent="0.2"/>
    <row r="6302" ht="12.75" customHeight="1" x14ac:dyDescent="0.2"/>
    <row r="6303" ht="12.75" customHeight="1" x14ac:dyDescent="0.2"/>
    <row r="6304" ht="12.75" customHeight="1" x14ac:dyDescent="0.2"/>
    <row r="6305" ht="12.75" customHeight="1" x14ac:dyDescent="0.2"/>
    <row r="6306" ht="12.75" customHeight="1" x14ac:dyDescent="0.2"/>
    <row r="6307" ht="12.75" customHeight="1" x14ac:dyDescent="0.2"/>
    <row r="6308" ht="12.75" customHeight="1" x14ac:dyDescent="0.2"/>
    <row r="6309" ht="12.75" customHeight="1" x14ac:dyDescent="0.2"/>
    <row r="6310" ht="12.75" customHeight="1" x14ac:dyDescent="0.2"/>
    <row r="6311" ht="12.75" customHeight="1" x14ac:dyDescent="0.2"/>
    <row r="6312" ht="12.75" customHeight="1" x14ac:dyDescent="0.2"/>
    <row r="6313" ht="12.75" customHeight="1" x14ac:dyDescent="0.2"/>
    <row r="6314" ht="12.75" customHeight="1" x14ac:dyDescent="0.2"/>
    <row r="6315" ht="12.75" customHeight="1" x14ac:dyDescent="0.2"/>
    <row r="6316" ht="12.75" customHeight="1" x14ac:dyDescent="0.2"/>
    <row r="6317" ht="12.75" customHeight="1" x14ac:dyDescent="0.2"/>
    <row r="6318" ht="12.75" customHeight="1" x14ac:dyDescent="0.2"/>
    <row r="6319" ht="12.75" customHeight="1" x14ac:dyDescent="0.2"/>
    <row r="6320" ht="12.75" customHeight="1" x14ac:dyDescent="0.2"/>
    <row r="6321" ht="12.75" customHeight="1" x14ac:dyDescent="0.2"/>
    <row r="6322" ht="12.75" customHeight="1" x14ac:dyDescent="0.2"/>
    <row r="6323" ht="12.75" customHeight="1" x14ac:dyDescent="0.2"/>
    <row r="6324" ht="12.75" customHeight="1" x14ac:dyDescent="0.2"/>
    <row r="6325" ht="12.75" customHeight="1" x14ac:dyDescent="0.2"/>
    <row r="6326" ht="12.75" customHeight="1" x14ac:dyDescent="0.2"/>
    <row r="6327" ht="12.75" customHeight="1" x14ac:dyDescent="0.2"/>
    <row r="6328" ht="12.75" customHeight="1" x14ac:dyDescent="0.2"/>
    <row r="6329" ht="12.75" customHeight="1" x14ac:dyDescent="0.2"/>
    <row r="6330" ht="12.75" customHeight="1" x14ac:dyDescent="0.2"/>
    <row r="6331" ht="12.75" customHeight="1" x14ac:dyDescent="0.2"/>
    <row r="6332" ht="12.75" customHeight="1" x14ac:dyDescent="0.2"/>
    <row r="6333" ht="12.75" customHeight="1" x14ac:dyDescent="0.2"/>
    <row r="6334" ht="12.75" customHeight="1" x14ac:dyDescent="0.2"/>
    <row r="6335" ht="12.75" customHeight="1" x14ac:dyDescent="0.2"/>
    <row r="6336" ht="12.75" customHeight="1" x14ac:dyDescent="0.2"/>
    <row r="6337" ht="12.75" customHeight="1" x14ac:dyDescent="0.2"/>
    <row r="6338" ht="12.75" customHeight="1" x14ac:dyDescent="0.2"/>
    <row r="6339" ht="12.75" customHeight="1" x14ac:dyDescent="0.2"/>
    <row r="6340" ht="12.75" customHeight="1" x14ac:dyDescent="0.2"/>
    <row r="6341" ht="12.75" customHeight="1" x14ac:dyDescent="0.2"/>
    <row r="6342" ht="12.75" customHeight="1" x14ac:dyDescent="0.2"/>
    <row r="6343" ht="12.75" customHeight="1" x14ac:dyDescent="0.2"/>
    <row r="6344" ht="12.75" customHeight="1" x14ac:dyDescent="0.2"/>
    <row r="6345" ht="12.75" customHeight="1" x14ac:dyDescent="0.2"/>
    <row r="6346" ht="12.75" customHeight="1" x14ac:dyDescent="0.2"/>
    <row r="6347" ht="12.75" customHeight="1" x14ac:dyDescent="0.2"/>
    <row r="6348" ht="12.75" customHeight="1" x14ac:dyDescent="0.2"/>
    <row r="6349" ht="12.75" customHeight="1" x14ac:dyDescent="0.2"/>
    <row r="6350" ht="12.75" customHeight="1" x14ac:dyDescent="0.2"/>
    <row r="6351" ht="12.75" customHeight="1" x14ac:dyDescent="0.2"/>
    <row r="6352" ht="12.75" customHeight="1" x14ac:dyDescent="0.2"/>
    <row r="6353" ht="12.75" customHeight="1" x14ac:dyDescent="0.2"/>
    <row r="6354" ht="12.75" customHeight="1" x14ac:dyDescent="0.2"/>
    <row r="6355" ht="12.75" customHeight="1" x14ac:dyDescent="0.2"/>
    <row r="6356" ht="12.75" customHeight="1" x14ac:dyDescent="0.2"/>
    <row r="6357" ht="12.75" customHeight="1" x14ac:dyDescent="0.2"/>
    <row r="6358" ht="12.75" customHeight="1" x14ac:dyDescent="0.2"/>
    <row r="6359" ht="12.75" customHeight="1" x14ac:dyDescent="0.2"/>
    <row r="6360" ht="12.75" customHeight="1" x14ac:dyDescent="0.2"/>
    <row r="6361" ht="12.75" customHeight="1" x14ac:dyDescent="0.2"/>
    <row r="6362" ht="12.75" customHeight="1" x14ac:dyDescent="0.2"/>
    <row r="6363" ht="12.75" customHeight="1" x14ac:dyDescent="0.2"/>
    <row r="6364" ht="12.75" customHeight="1" x14ac:dyDescent="0.2"/>
    <row r="6365" ht="12.75" customHeight="1" x14ac:dyDescent="0.2"/>
    <row r="6366" ht="12.75" customHeight="1" x14ac:dyDescent="0.2"/>
    <row r="6367" ht="12.75" customHeight="1" x14ac:dyDescent="0.2"/>
    <row r="6368" ht="12.75" customHeight="1" x14ac:dyDescent="0.2"/>
    <row r="6369" ht="12.75" customHeight="1" x14ac:dyDescent="0.2"/>
    <row r="6370" ht="12.75" customHeight="1" x14ac:dyDescent="0.2"/>
    <row r="6371" ht="12.75" customHeight="1" x14ac:dyDescent="0.2"/>
    <row r="6372" ht="12.75" customHeight="1" x14ac:dyDescent="0.2"/>
    <row r="6373" ht="12.75" customHeight="1" x14ac:dyDescent="0.2"/>
    <row r="6374" ht="12.75" customHeight="1" x14ac:dyDescent="0.2"/>
    <row r="6375" ht="12.75" customHeight="1" x14ac:dyDescent="0.2"/>
    <row r="6376" ht="12.75" customHeight="1" x14ac:dyDescent="0.2"/>
    <row r="6377" ht="12.75" customHeight="1" x14ac:dyDescent="0.2"/>
    <row r="6378" ht="12.75" customHeight="1" x14ac:dyDescent="0.2"/>
    <row r="6379" ht="12.75" customHeight="1" x14ac:dyDescent="0.2"/>
    <row r="6380" ht="12.75" customHeight="1" x14ac:dyDescent="0.2"/>
    <row r="6381" ht="12.75" customHeight="1" x14ac:dyDescent="0.2"/>
    <row r="6382" ht="12.75" customHeight="1" x14ac:dyDescent="0.2"/>
    <row r="6383" ht="12.75" customHeight="1" x14ac:dyDescent="0.2"/>
    <row r="6384" ht="12.75" customHeight="1" x14ac:dyDescent="0.2"/>
    <row r="6385" ht="12.75" customHeight="1" x14ac:dyDescent="0.2"/>
    <row r="6386" ht="12.75" customHeight="1" x14ac:dyDescent="0.2"/>
    <row r="6387" ht="12.75" customHeight="1" x14ac:dyDescent="0.2"/>
    <row r="6388" ht="12.75" customHeight="1" x14ac:dyDescent="0.2"/>
    <row r="6389" ht="12.75" customHeight="1" x14ac:dyDescent="0.2"/>
    <row r="6390" ht="12.75" customHeight="1" x14ac:dyDescent="0.2"/>
    <row r="6391" ht="12.75" customHeight="1" x14ac:dyDescent="0.2"/>
    <row r="6392" ht="12.75" customHeight="1" x14ac:dyDescent="0.2"/>
    <row r="6393" ht="12.75" customHeight="1" x14ac:dyDescent="0.2"/>
    <row r="6394" ht="12.75" customHeight="1" x14ac:dyDescent="0.2"/>
    <row r="6395" ht="12.75" customHeight="1" x14ac:dyDescent="0.2"/>
    <row r="6396" ht="12.75" customHeight="1" x14ac:dyDescent="0.2"/>
    <row r="6397" ht="12.75" customHeight="1" x14ac:dyDescent="0.2"/>
    <row r="6398" ht="12.75" customHeight="1" x14ac:dyDescent="0.2"/>
    <row r="6399" ht="12.75" customHeight="1" x14ac:dyDescent="0.2"/>
    <row r="6400" ht="12.75" customHeight="1" x14ac:dyDescent="0.2"/>
    <row r="6401" ht="12.75" customHeight="1" x14ac:dyDescent="0.2"/>
    <row r="6402" ht="12.75" customHeight="1" x14ac:dyDescent="0.2"/>
    <row r="6403" ht="12.75" customHeight="1" x14ac:dyDescent="0.2"/>
    <row r="6404" ht="12.75" customHeight="1" x14ac:dyDescent="0.2"/>
    <row r="6405" ht="12.75" customHeight="1" x14ac:dyDescent="0.2"/>
    <row r="6406" ht="12.75" customHeight="1" x14ac:dyDescent="0.2"/>
    <row r="6407" ht="12.75" customHeight="1" x14ac:dyDescent="0.2"/>
    <row r="6408" ht="12.75" customHeight="1" x14ac:dyDescent="0.2"/>
    <row r="6409" ht="12.75" customHeight="1" x14ac:dyDescent="0.2"/>
    <row r="6410" ht="12.75" customHeight="1" x14ac:dyDescent="0.2"/>
    <row r="6411" ht="12.75" customHeight="1" x14ac:dyDescent="0.2"/>
    <row r="6412" ht="12.75" customHeight="1" x14ac:dyDescent="0.2"/>
    <row r="6413" ht="12.75" customHeight="1" x14ac:dyDescent="0.2"/>
    <row r="6414" ht="12.75" customHeight="1" x14ac:dyDescent="0.2"/>
    <row r="6415" ht="12.75" customHeight="1" x14ac:dyDescent="0.2"/>
    <row r="6416" ht="12.75" customHeight="1" x14ac:dyDescent="0.2"/>
    <row r="6417" ht="12.75" customHeight="1" x14ac:dyDescent="0.2"/>
    <row r="6418" ht="12.75" customHeight="1" x14ac:dyDescent="0.2"/>
    <row r="6419" ht="12.75" customHeight="1" x14ac:dyDescent="0.2"/>
    <row r="6420" ht="12.75" customHeight="1" x14ac:dyDescent="0.2"/>
    <row r="6421" ht="12.75" customHeight="1" x14ac:dyDescent="0.2"/>
    <row r="6422" ht="12.75" customHeight="1" x14ac:dyDescent="0.2"/>
    <row r="6423" ht="12.75" customHeight="1" x14ac:dyDescent="0.2"/>
    <row r="6424" ht="12.75" customHeight="1" x14ac:dyDescent="0.2"/>
    <row r="6425" ht="12.75" customHeight="1" x14ac:dyDescent="0.2"/>
    <row r="6426" ht="12.75" customHeight="1" x14ac:dyDescent="0.2"/>
    <row r="6427" ht="12.75" customHeight="1" x14ac:dyDescent="0.2"/>
    <row r="6428" ht="12.75" customHeight="1" x14ac:dyDescent="0.2"/>
    <row r="6429" ht="12.75" customHeight="1" x14ac:dyDescent="0.2"/>
    <row r="6430" ht="12.75" customHeight="1" x14ac:dyDescent="0.2"/>
    <row r="6431" ht="12.75" customHeight="1" x14ac:dyDescent="0.2"/>
    <row r="6432" ht="12.75" customHeight="1" x14ac:dyDescent="0.2"/>
    <row r="6433" ht="12.75" customHeight="1" x14ac:dyDescent="0.2"/>
    <row r="6434" ht="12.75" customHeight="1" x14ac:dyDescent="0.2"/>
    <row r="6435" ht="12.75" customHeight="1" x14ac:dyDescent="0.2"/>
    <row r="6436" ht="12.75" customHeight="1" x14ac:dyDescent="0.2"/>
    <row r="6437" ht="12.75" customHeight="1" x14ac:dyDescent="0.2"/>
    <row r="6438" ht="12.75" customHeight="1" x14ac:dyDescent="0.2"/>
    <row r="6439" ht="12.75" customHeight="1" x14ac:dyDescent="0.2"/>
    <row r="6440" ht="12.75" customHeight="1" x14ac:dyDescent="0.2"/>
    <row r="6441" ht="12.75" customHeight="1" x14ac:dyDescent="0.2"/>
    <row r="6442" ht="12.75" customHeight="1" x14ac:dyDescent="0.2"/>
    <row r="6443" ht="12.75" customHeight="1" x14ac:dyDescent="0.2"/>
    <row r="6444" ht="12.75" customHeight="1" x14ac:dyDescent="0.2"/>
    <row r="6445" ht="12.75" customHeight="1" x14ac:dyDescent="0.2"/>
    <row r="6446" ht="12.75" customHeight="1" x14ac:dyDescent="0.2"/>
    <row r="6447" ht="12.75" customHeight="1" x14ac:dyDescent="0.2"/>
    <row r="6448" ht="12.75" customHeight="1" x14ac:dyDescent="0.2"/>
    <row r="6449" ht="12.75" customHeight="1" x14ac:dyDescent="0.2"/>
    <row r="6450" ht="12.75" customHeight="1" x14ac:dyDescent="0.2"/>
    <row r="6451" ht="12.75" customHeight="1" x14ac:dyDescent="0.2"/>
    <row r="6452" ht="12.75" customHeight="1" x14ac:dyDescent="0.2"/>
    <row r="6453" ht="12.75" customHeight="1" x14ac:dyDescent="0.2"/>
    <row r="6454" ht="12.75" customHeight="1" x14ac:dyDescent="0.2"/>
    <row r="6455" ht="12.75" customHeight="1" x14ac:dyDescent="0.2"/>
    <row r="6456" ht="12.75" customHeight="1" x14ac:dyDescent="0.2"/>
    <row r="6457" ht="12.75" customHeight="1" x14ac:dyDescent="0.2"/>
    <row r="6458" ht="12.75" customHeight="1" x14ac:dyDescent="0.2"/>
    <row r="6459" ht="12.75" customHeight="1" x14ac:dyDescent="0.2"/>
    <row r="6460" ht="12.75" customHeight="1" x14ac:dyDescent="0.2"/>
    <row r="6461" ht="12.75" customHeight="1" x14ac:dyDescent="0.2"/>
    <row r="6462" ht="12.75" customHeight="1" x14ac:dyDescent="0.2"/>
    <row r="6463" ht="12.75" customHeight="1" x14ac:dyDescent="0.2"/>
    <row r="6464" ht="12.75" customHeight="1" x14ac:dyDescent="0.2"/>
    <row r="6465" ht="12.75" customHeight="1" x14ac:dyDescent="0.2"/>
    <row r="6466" ht="12.75" customHeight="1" x14ac:dyDescent="0.2"/>
    <row r="6467" ht="12.75" customHeight="1" x14ac:dyDescent="0.2"/>
    <row r="6468" ht="12.75" customHeight="1" x14ac:dyDescent="0.2"/>
    <row r="6469" ht="12.75" customHeight="1" x14ac:dyDescent="0.2"/>
    <row r="6470" ht="12.75" customHeight="1" x14ac:dyDescent="0.2"/>
    <row r="6471" ht="12.75" customHeight="1" x14ac:dyDescent="0.2"/>
    <row r="6472" ht="12.75" customHeight="1" x14ac:dyDescent="0.2"/>
    <row r="6473" ht="12.75" customHeight="1" x14ac:dyDescent="0.2"/>
    <row r="6474" ht="12.75" customHeight="1" x14ac:dyDescent="0.2"/>
    <row r="6475" ht="12.75" customHeight="1" x14ac:dyDescent="0.2"/>
    <row r="6476" ht="12.75" customHeight="1" x14ac:dyDescent="0.2"/>
    <row r="6477" ht="12.75" customHeight="1" x14ac:dyDescent="0.2"/>
    <row r="6478" ht="12.75" customHeight="1" x14ac:dyDescent="0.2"/>
    <row r="6479" ht="12.75" customHeight="1" x14ac:dyDescent="0.2"/>
    <row r="6480" ht="12.75" customHeight="1" x14ac:dyDescent="0.2"/>
    <row r="6481" ht="12.75" customHeight="1" x14ac:dyDescent="0.2"/>
    <row r="6482" ht="12.75" customHeight="1" x14ac:dyDescent="0.2"/>
    <row r="6483" ht="12.75" customHeight="1" x14ac:dyDescent="0.2"/>
    <row r="6484" ht="12.75" customHeight="1" x14ac:dyDescent="0.2"/>
    <row r="6485" ht="12.75" customHeight="1" x14ac:dyDescent="0.2"/>
    <row r="6486" ht="12.75" customHeight="1" x14ac:dyDescent="0.2"/>
    <row r="6487" ht="12.75" customHeight="1" x14ac:dyDescent="0.2"/>
    <row r="6488" ht="12.75" customHeight="1" x14ac:dyDescent="0.2"/>
    <row r="6489" ht="12.75" customHeight="1" x14ac:dyDescent="0.2"/>
    <row r="6490" ht="12.75" customHeight="1" x14ac:dyDescent="0.2"/>
    <row r="6491" ht="12.75" customHeight="1" x14ac:dyDescent="0.2"/>
    <row r="6492" ht="12.75" customHeight="1" x14ac:dyDescent="0.2"/>
    <row r="6493" ht="12.75" customHeight="1" x14ac:dyDescent="0.2"/>
    <row r="6494" ht="12.75" customHeight="1" x14ac:dyDescent="0.2"/>
    <row r="6495" ht="12.75" customHeight="1" x14ac:dyDescent="0.2"/>
    <row r="6496" ht="12.75" customHeight="1" x14ac:dyDescent="0.2"/>
    <row r="6497" ht="12.75" customHeight="1" x14ac:dyDescent="0.2"/>
    <row r="6498" ht="12.75" customHeight="1" x14ac:dyDescent="0.2"/>
    <row r="6499" ht="12.75" customHeight="1" x14ac:dyDescent="0.2"/>
    <row r="6500" ht="12.75" customHeight="1" x14ac:dyDescent="0.2"/>
    <row r="6501" ht="12.75" customHeight="1" x14ac:dyDescent="0.2"/>
    <row r="6502" ht="12.75" customHeight="1" x14ac:dyDescent="0.2"/>
    <row r="6503" ht="12.75" customHeight="1" x14ac:dyDescent="0.2"/>
    <row r="6504" ht="12.75" customHeight="1" x14ac:dyDescent="0.2"/>
    <row r="6505" ht="12.75" customHeight="1" x14ac:dyDescent="0.2"/>
    <row r="6506" ht="12.75" customHeight="1" x14ac:dyDescent="0.2"/>
    <row r="6507" ht="12.75" customHeight="1" x14ac:dyDescent="0.2"/>
    <row r="6508" ht="12.75" customHeight="1" x14ac:dyDescent="0.2"/>
    <row r="6509" ht="12.75" customHeight="1" x14ac:dyDescent="0.2"/>
    <row r="6510" ht="12.75" customHeight="1" x14ac:dyDescent="0.2"/>
    <row r="6511" ht="12.75" customHeight="1" x14ac:dyDescent="0.2"/>
    <row r="6512" ht="12.75" customHeight="1" x14ac:dyDescent="0.2"/>
    <row r="6513" ht="12.75" customHeight="1" x14ac:dyDescent="0.2"/>
    <row r="6514" ht="12.75" customHeight="1" x14ac:dyDescent="0.2"/>
    <row r="6515" ht="12.75" customHeight="1" x14ac:dyDescent="0.2"/>
    <row r="6516" ht="12.75" customHeight="1" x14ac:dyDescent="0.2"/>
    <row r="6517" ht="12.75" customHeight="1" x14ac:dyDescent="0.2"/>
    <row r="6518" ht="12.75" customHeight="1" x14ac:dyDescent="0.2"/>
    <row r="6519" ht="12.75" customHeight="1" x14ac:dyDescent="0.2"/>
    <row r="6520" ht="12.75" customHeight="1" x14ac:dyDescent="0.2"/>
    <row r="6521" ht="12.75" customHeight="1" x14ac:dyDescent="0.2"/>
    <row r="6522" ht="12.75" customHeight="1" x14ac:dyDescent="0.2"/>
    <row r="6523" ht="12.75" customHeight="1" x14ac:dyDescent="0.2"/>
    <row r="6524" ht="12.75" customHeight="1" x14ac:dyDescent="0.2"/>
    <row r="6525" ht="12.75" customHeight="1" x14ac:dyDescent="0.2"/>
    <row r="6526" ht="12.75" customHeight="1" x14ac:dyDescent="0.2"/>
    <row r="6527" ht="12.75" customHeight="1" x14ac:dyDescent="0.2"/>
    <row r="6528" ht="12.75" customHeight="1" x14ac:dyDescent="0.2"/>
    <row r="6529" ht="12.75" customHeight="1" x14ac:dyDescent="0.2"/>
    <row r="6530" ht="12.75" customHeight="1" x14ac:dyDescent="0.2"/>
    <row r="6531" ht="12.75" customHeight="1" x14ac:dyDescent="0.2"/>
    <row r="6532" ht="12.75" customHeight="1" x14ac:dyDescent="0.2"/>
    <row r="6533" ht="12.75" customHeight="1" x14ac:dyDescent="0.2"/>
    <row r="6534" ht="12.75" customHeight="1" x14ac:dyDescent="0.2"/>
    <row r="6535" ht="12.75" customHeight="1" x14ac:dyDescent="0.2"/>
    <row r="6536" ht="12.75" customHeight="1" x14ac:dyDescent="0.2"/>
    <row r="6537" ht="12.75" customHeight="1" x14ac:dyDescent="0.2"/>
    <row r="6538" ht="12.75" customHeight="1" x14ac:dyDescent="0.2"/>
    <row r="6539" ht="12.75" customHeight="1" x14ac:dyDescent="0.2"/>
    <row r="6540" ht="12.75" customHeight="1" x14ac:dyDescent="0.2"/>
    <row r="6541" ht="12.75" customHeight="1" x14ac:dyDescent="0.2"/>
    <row r="6542" ht="12.75" customHeight="1" x14ac:dyDescent="0.2"/>
    <row r="6543" ht="12.75" customHeight="1" x14ac:dyDescent="0.2"/>
    <row r="6544" ht="12.75" customHeight="1" x14ac:dyDescent="0.2"/>
    <row r="6545" ht="12.75" customHeight="1" x14ac:dyDescent="0.2"/>
    <row r="6546" ht="12.75" customHeight="1" x14ac:dyDescent="0.2"/>
    <row r="6547" ht="12.75" customHeight="1" x14ac:dyDescent="0.2"/>
    <row r="6548" ht="12.75" customHeight="1" x14ac:dyDescent="0.2"/>
    <row r="6549" ht="12.75" customHeight="1" x14ac:dyDescent="0.2"/>
    <row r="6550" ht="12.75" customHeight="1" x14ac:dyDescent="0.2"/>
    <row r="6551" ht="12.75" customHeight="1" x14ac:dyDescent="0.2"/>
    <row r="6552" ht="12.75" customHeight="1" x14ac:dyDescent="0.2"/>
    <row r="6553" ht="12.75" customHeight="1" x14ac:dyDescent="0.2"/>
    <row r="6554" ht="12.75" customHeight="1" x14ac:dyDescent="0.2"/>
    <row r="6555" ht="12.75" customHeight="1" x14ac:dyDescent="0.2"/>
    <row r="6556" ht="12.75" customHeight="1" x14ac:dyDescent="0.2"/>
    <row r="6557" ht="12.75" customHeight="1" x14ac:dyDescent="0.2"/>
    <row r="6558" ht="12.75" customHeight="1" x14ac:dyDescent="0.2"/>
    <row r="6559" ht="12.75" customHeight="1" x14ac:dyDescent="0.2"/>
    <row r="6560" ht="12.75" customHeight="1" x14ac:dyDescent="0.2"/>
    <row r="6561" ht="12.75" customHeight="1" x14ac:dyDescent="0.2"/>
    <row r="6562" ht="12.75" customHeight="1" x14ac:dyDescent="0.2"/>
    <row r="6563" ht="12.75" customHeight="1" x14ac:dyDescent="0.2"/>
    <row r="6564" ht="12.75" customHeight="1" x14ac:dyDescent="0.2"/>
    <row r="6565" ht="12.75" customHeight="1" x14ac:dyDescent="0.2"/>
    <row r="6566" ht="12.75" customHeight="1" x14ac:dyDescent="0.2"/>
    <row r="6567" ht="12.75" customHeight="1" x14ac:dyDescent="0.2"/>
    <row r="6568" ht="12.75" customHeight="1" x14ac:dyDescent="0.2"/>
    <row r="6569" ht="12.75" customHeight="1" x14ac:dyDescent="0.2"/>
    <row r="6570" ht="12.75" customHeight="1" x14ac:dyDescent="0.2"/>
    <row r="6571" ht="12.75" customHeight="1" x14ac:dyDescent="0.2"/>
    <row r="6572" ht="12.75" customHeight="1" x14ac:dyDescent="0.2"/>
    <row r="6573" ht="12.75" customHeight="1" x14ac:dyDescent="0.2"/>
    <row r="6574" ht="12.75" customHeight="1" x14ac:dyDescent="0.2"/>
    <row r="6575" ht="12.75" customHeight="1" x14ac:dyDescent="0.2"/>
    <row r="6576" ht="12.75" customHeight="1" x14ac:dyDescent="0.2"/>
    <row r="6577" ht="12.75" customHeight="1" x14ac:dyDescent="0.2"/>
    <row r="6578" ht="12.75" customHeight="1" x14ac:dyDescent="0.2"/>
    <row r="6579" ht="12.75" customHeight="1" x14ac:dyDescent="0.2"/>
    <row r="6580" ht="12.75" customHeight="1" x14ac:dyDescent="0.2"/>
    <row r="6581" ht="12.75" customHeight="1" x14ac:dyDescent="0.2"/>
    <row r="6582" ht="12.75" customHeight="1" x14ac:dyDescent="0.2"/>
    <row r="6583" ht="12.75" customHeight="1" x14ac:dyDescent="0.2"/>
    <row r="6584" ht="12.75" customHeight="1" x14ac:dyDescent="0.2"/>
    <row r="6585" ht="12.75" customHeight="1" x14ac:dyDescent="0.2"/>
    <row r="6586" ht="12.75" customHeight="1" x14ac:dyDescent="0.2"/>
    <row r="6587" ht="12.75" customHeight="1" x14ac:dyDescent="0.2"/>
    <row r="6588" ht="12.75" customHeight="1" x14ac:dyDescent="0.2"/>
    <row r="6589" ht="12.75" customHeight="1" x14ac:dyDescent="0.2"/>
    <row r="6590" ht="12.75" customHeight="1" x14ac:dyDescent="0.2"/>
    <row r="6591" ht="12.75" customHeight="1" x14ac:dyDescent="0.2"/>
    <row r="6592" ht="12.75" customHeight="1" x14ac:dyDescent="0.2"/>
    <row r="6593" ht="12.75" customHeight="1" x14ac:dyDescent="0.2"/>
    <row r="6594" ht="12.75" customHeight="1" x14ac:dyDescent="0.2"/>
    <row r="6595" ht="12.75" customHeight="1" x14ac:dyDescent="0.2"/>
    <row r="6596" ht="12.75" customHeight="1" x14ac:dyDescent="0.2"/>
    <row r="6597" ht="12.75" customHeight="1" x14ac:dyDescent="0.2"/>
    <row r="6598" ht="12.75" customHeight="1" x14ac:dyDescent="0.2"/>
    <row r="6599" ht="12.75" customHeight="1" x14ac:dyDescent="0.2"/>
    <row r="6600" ht="12.75" customHeight="1" x14ac:dyDescent="0.2"/>
    <row r="6601" ht="12.75" customHeight="1" x14ac:dyDescent="0.2"/>
    <row r="6602" ht="12.75" customHeight="1" x14ac:dyDescent="0.2"/>
    <row r="6603" ht="12.75" customHeight="1" x14ac:dyDescent="0.2"/>
    <row r="6604" ht="12.75" customHeight="1" x14ac:dyDescent="0.2"/>
    <row r="6605" ht="12.75" customHeight="1" x14ac:dyDescent="0.2"/>
    <row r="6606" ht="12.75" customHeight="1" x14ac:dyDescent="0.2"/>
    <row r="6607" ht="12.75" customHeight="1" x14ac:dyDescent="0.2"/>
    <row r="6608" ht="12.75" customHeight="1" x14ac:dyDescent="0.2"/>
    <row r="6609" ht="12.75" customHeight="1" x14ac:dyDescent="0.2"/>
    <row r="6610" ht="12.75" customHeight="1" x14ac:dyDescent="0.2"/>
    <row r="6611" ht="12.75" customHeight="1" x14ac:dyDescent="0.2"/>
    <row r="6612" ht="12.75" customHeight="1" x14ac:dyDescent="0.2"/>
    <row r="6613" ht="12.75" customHeight="1" x14ac:dyDescent="0.2"/>
    <row r="6614" ht="12.75" customHeight="1" x14ac:dyDescent="0.2"/>
    <row r="6615" ht="12.75" customHeight="1" x14ac:dyDescent="0.2"/>
    <row r="6616" ht="12.75" customHeight="1" x14ac:dyDescent="0.2"/>
    <row r="6617" ht="12.75" customHeight="1" x14ac:dyDescent="0.2"/>
    <row r="6618" ht="12.75" customHeight="1" x14ac:dyDescent="0.2"/>
    <row r="6619" ht="12.75" customHeight="1" x14ac:dyDescent="0.2"/>
    <row r="6620" ht="12.75" customHeight="1" x14ac:dyDescent="0.2"/>
    <row r="6621" ht="12.75" customHeight="1" x14ac:dyDescent="0.2"/>
    <row r="6622" ht="12.75" customHeight="1" x14ac:dyDescent="0.2"/>
    <row r="6623" ht="12.75" customHeight="1" x14ac:dyDescent="0.2"/>
    <row r="6624" ht="12.75" customHeight="1" x14ac:dyDescent="0.2"/>
    <row r="6625" ht="12.75" customHeight="1" x14ac:dyDescent="0.2"/>
    <row r="6626" ht="12.75" customHeight="1" x14ac:dyDescent="0.2"/>
    <row r="6627" ht="12.75" customHeight="1" x14ac:dyDescent="0.2"/>
    <row r="6628" ht="12.75" customHeight="1" x14ac:dyDescent="0.2"/>
    <row r="6629" ht="12.75" customHeight="1" x14ac:dyDescent="0.2"/>
    <row r="6630" ht="12.75" customHeight="1" x14ac:dyDescent="0.2"/>
    <row r="6631" ht="12.75" customHeight="1" x14ac:dyDescent="0.2"/>
    <row r="6632" ht="12.75" customHeight="1" x14ac:dyDescent="0.2"/>
    <row r="6633" ht="12.75" customHeight="1" x14ac:dyDescent="0.2"/>
    <row r="6634" ht="12.75" customHeight="1" x14ac:dyDescent="0.2"/>
    <row r="6635" ht="12.75" customHeight="1" x14ac:dyDescent="0.2"/>
    <row r="6636" ht="12.75" customHeight="1" x14ac:dyDescent="0.2"/>
    <row r="6637" ht="12.75" customHeight="1" x14ac:dyDescent="0.2"/>
    <row r="6638" ht="12.75" customHeight="1" x14ac:dyDescent="0.2"/>
    <row r="6639" ht="12.75" customHeight="1" x14ac:dyDescent="0.2"/>
    <row r="6640" ht="12.75" customHeight="1" x14ac:dyDescent="0.2"/>
    <row r="6641" ht="12.75" customHeight="1" x14ac:dyDescent="0.2"/>
    <row r="6642" ht="12.75" customHeight="1" x14ac:dyDescent="0.2"/>
    <row r="6643" ht="12.75" customHeight="1" x14ac:dyDescent="0.2"/>
    <row r="6644" ht="12.75" customHeight="1" x14ac:dyDescent="0.2"/>
    <row r="6645" ht="12.75" customHeight="1" x14ac:dyDescent="0.2"/>
    <row r="6646" ht="12.75" customHeight="1" x14ac:dyDescent="0.2"/>
    <row r="6647" ht="12.75" customHeight="1" x14ac:dyDescent="0.2"/>
    <row r="6648" ht="12.75" customHeight="1" x14ac:dyDescent="0.2"/>
    <row r="6649" ht="12.75" customHeight="1" x14ac:dyDescent="0.2"/>
    <row r="6650" ht="12.75" customHeight="1" x14ac:dyDescent="0.2"/>
    <row r="6651" ht="12.75" customHeight="1" x14ac:dyDescent="0.2"/>
    <row r="6652" ht="12.75" customHeight="1" x14ac:dyDescent="0.2"/>
    <row r="6653" ht="12.75" customHeight="1" x14ac:dyDescent="0.2"/>
    <row r="6654" ht="12.75" customHeight="1" x14ac:dyDescent="0.2"/>
    <row r="6655" ht="12.75" customHeight="1" x14ac:dyDescent="0.2"/>
    <row r="6656" ht="12.75" customHeight="1" x14ac:dyDescent="0.2"/>
    <row r="6657" ht="12.75" customHeight="1" x14ac:dyDescent="0.2"/>
    <row r="6658" ht="12.75" customHeight="1" x14ac:dyDescent="0.2"/>
    <row r="6659" ht="12.75" customHeight="1" x14ac:dyDescent="0.2"/>
    <row r="6660" ht="12.75" customHeight="1" x14ac:dyDescent="0.2"/>
    <row r="6661" ht="12.75" customHeight="1" x14ac:dyDescent="0.2"/>
    <row r="6662" ht="12.75" customHeight="1" x14ac:dyDescent="0.2"/>
    <row r="6663" ht="12.75" customHeight="1" x14ac:dyDescent="0.2"/>
    <row r="6664" ht="12.75" customHeight="1" x14ac:dyDescent="0.2"/>
    <row r="6665" ht="12.75" customHeight="1" x14ac:dyDescent="0.2"/>
    <row r="6666" ht="12.75" customHeight="1" x14ac:dyDescent="0.2"/>
    <row r="6667" ht="12.75" customHeight="1" x14ac:dyDescent="0.2"/>
    <row r="6668" ht="12.75" customHeight="1" x14ac:dyDescent="0.2"/>
    <row r="6669" ht="12.75" customHeight="1" x14ac:dyDescent="0.2"/>
    <row r="6670" ht="12.75" customHeight="1" x14ac:dyDescent="0.2"/>
    <row r="6671" ht="12.75" customHeight="1" x14ac:dyDescent="0.2"/>
    <row r="6672" ht="12.75" customHeight="1" x14ac:dyDescent="0.2"/>
    <row r="6673" ht="12.75" customHeight="1" x14ac:dyDescent="0.2"/>
    <row r="6674" ht="12.75" customHeight="1" x14ac:dyDescent="0.2"/>
    <row r="6675" ht="12.75" customHeight="1" x14ac:dyDescent="0.2"/>
    <row r="6676" ht="12.75" customHeight="1" x14ac:dyDescent="0.2"/>
    <row r="6677" ht="12.75" customHeight="1" x14ac:dyDescent="0.2"/>
    <row r="6678" ht="12.75" customHeight="1" x14ac:dyDescent="0.2"/>
    <row r="6679" ht="12.75" customHeight="1" x14ac:dyDescent="0.2"/>
    <row r="6680" ht="12.75" customHeight="1" x14ac:dyDescent="0.2"/>
    <row r="6681" ht="12.75" customHeight="1" x14ac:dyDescent="0.2"/>
    <row r="6682" ht="12.75" customHeight="1" x14ac:dyDescent="0.2"/>
    <row r="6683" ht="12.75" customHeight="1" x14ac:dyDescent="0.2"/>
    <row r="6684" ht="12.75" customHeight="1" x14ac:dyDescent="0.2"/>
    <row r="6685" ht="12.75" customHeight="1" x14ac:dyDescent="0.2"/>
    <row r="6686" ht="12.75" customHeight="1" x14ac:dyDescent="0.2"/>
    <row r="6687" ht="12.75" customHeight="1" x14ac:dyDescent="0.2"/>
    <row r="6688" ht="12.75" customHeight="1" x14ac:dyDescent="0.2"/>
    <row r="6689" ht="12.75" customHeight="1" x14ac:dyDescent="0.2"/>
    <row r="6690" ht="12.75" customHeight="1" x14ac:dyDescent="0.2"/>
    <row r="6691" ht="12.75" customHeight="1" x14ac:dyDescent="0.2"/>
    <row r="6692" ht="12.75" customHeight="1" x14ac:dyDescent="0.2"/>
    <row r="6693" ht="12.75" customHeight="1" x14ac:dyDescent="0.2"/>
    <row r="6694" ht="12.75" customHeight="1" x14ac:dyDescent="0.2"/>
    <row r="6695" ht="12.75" customHeight="1" x14ac:dyDescent="0.2"/>
    <row r="6696" ht="12.75" customHeight="1" x14ac:dyDescent="0.2"/>
    <row r="6697" ht="12.75" customHeight="1" x14ac:dyDescent="0.2"/>
    <row r="6698" ht="12.75" customHeight="1" x14ac:dyDescent="0.2"/>
    <row r="6699" ht="12.75" customHeight="1" x14ac:dyDescent="0.2"/>
    <row r="6700" ht="12.75" customHeight="1" x14ac:dyDescent="0.2"/>
    <row r="6701" ht="12.75" customHeight="1" x14ac:dyDescent="0.2"/>
    <row r="6702" ht="12.75" customHeight="1" x14ac:dyDescent="0.2"/>
    <row r="6703" ht="12.75" customHeight="1" x14ac:dyDescent="0.2"/>
    <row r="6704" ht="12.75" customHeight="1" x14ac:dyDescent="0.2"/>
    <row r="6705" ht="12.75" customHeight="1" x14ac:dyDescent="0.2"/>
    <row r="6706" ht="12.75" customHeight="1" x14ac:dyDescent="0.2"/>
    <row r="6707" ht="12.75" customHeight="1" x14ac:dyDescent="0.2"/>
    <row r="6708" ht="12.75" customHeight="1" x14ac:dyDescent="0.2"/>
    <row r="6709" ht="12.75" customHeight="1" x14ac:dyDescent="0.2"/>
    <row r="6710" ht="12.75" customHeight="1" x14ac:dyDescent="0.2"/>
    <row r="6711" ht="12.75" customHeight="1" x14ac:dyDescent="0.2"/>
    <row r="6712" ht="12.75" customHeight="1" x14ac:dyDescent="0.2"/>
    <row r="6713" ht="12.75" customHeight="1" x14ac:dyDescent="0.2"/>
    <row r="6714" ht="12.75" customHeight="1" x14ac:dyDescent="0.2"/>
    <row r="6715" ht="12.75" customHeight="1" x14ac:dyDescent="0.2"/>
    <row r="6716" ht="12.75" customHeight="1" x14ac:dyDescent="0.2"/>
    <row r="6717" ht="12.75" customHeight="1" x14ac:dyDescent="0.2"/>
    <row r="6718" ht="12.75" customHeight="1" x14ac:dyDescent="0.2"/>
    <row r="6719" ht="12.75" customHeight="1" x14ac:dyDescent="0.2"/>
    <row r="6720" ht="12.75" customHeight="1" x14ac:dyDescent="0.2"/>
    <row r="6721" ht="12.75" customHeight="1" x14ac:dyDescent="0.2"/>
    <row r="6722" ht="12.75" customHeight="1" x14ac:dyDescent="0.2"/>
    <row r="6723" ht="12.75" customHeight="1" x14ac:dyDescent="0.2"/>
    <row r="6724" ht="12.75" customHeight="1" x14ac:dyDescent="0.2"/>
    <row r="6725" ht="12.75" customHeight="1" x14ac:dyDescent="0.2"/>
    <row r="6726" ht="12.75" customHeight="1" x14ac:dyDescent="0.2"/>
    <row r="6727" ht="12.75" customHeight="1" x14ac:dyDescent="0.2"/>
    <row r="6728" ht="12.75" customHeight="1" x14ac:dyDescent="0.2"/>
    <row r="6729" ht="12.75" customHeight="1" x14ac:dyDescent="0.2"/>
    <row r="6730" ht="12.75" customHeight="1" x14ac:dyDescent="0.2"/>
    <row r="6731" ht="12.75" customHeight="1" x14ac:dyDescent="0.2"/>
    <row r="6732" ht="12.75" customHeight="1" x14ac:dyDescent="0.2"/>
    <row r="6733" ht="12.75" customHeight="1" x14ac:dyDescent="0.2"/>
    <row r="6734" ht="12.75" customHeight="1" x14ac:dyDescent="0.2"/>
    <row r="6735" ht="12.75" customHeight="1" x14ac:dyDescent="0.2"/>
    <row r="6736" ht="12.75" customHeight="1" x14ac:dyDescent="0.2"/>
    <row r="6737" ht="12.75" customHeight="1" x14ac:dyDescent="0.2"/>
    <row r="6738" ht="12.75" customHeight="1" x14ac:dyDescent="0.2"/>
    <row r="6739" ht="12.75" customHeight="1" x14ac:dyDescent="0.2"/>
    <row r="6740" ht="12.75" customHeight="1" x14ac:dyDescent="0.2"/>
    <row r="6741" ht="12.75" customHeight="1" x14ac:dyDescent="0.2"/>
    <row r="6742" ht="12.75" customHeight="1" x14ac:dyDescent="0.2"/>
    <row r="6743" ht="12.75" customHeight="1" x14ac:dyDescent="0.2"/>
    <row r="6744" ht="12.75" customHeight="1" x14ac:dyDescent="0.2"/>
    <row r="6745" ht="12.75" customHeight="1" x14ac:dyDescent="0.2"/>
    <row r="6746" ht="12.75" customHeight="1" x14ac:dyDescent="0.2"/>
    <row r="6747" ht="12.75" customHeight="1" x14ac:dyDescent="0.2"/>
    <row r="6748" ht="12.75" customHeight="1" x14ac:dyDescent="0.2"/>
    <row r="6749" ht="12.75" customHeight="1" x14ac:dyDescent="0.2"/>
    <row r="6750" ht="12.75" customHeight="1" x14ac:dyDescent="0.2"/>
    <row r="6751" ht="12.75" customHeight="1" x14ac:dyDescent="0.2"/>
    <row r="6752" ht="12.75" customHeight="1" x14ac:dyDescent="0.2"/>
    <row r="6753" ht="12.75" customHeight="1" x14ac:dyDescent="0.2"/>
    <row r="6754" ht="12.75" customHeight="1" x14ac:dyDescent="0.2"/>
    <row r="6755" ht="12.75" customHeight="1" x14ac:dyDescent="0.2"/>
    <row r="6756" ht="12.75" customHeight="1" x14ac:dyDescent="0.2"/>
    <row r="6757" ht="12.75" customHeight="1" x14ac:dyDescent="0.2"/>
    <row r="6758" ht="12.75" customHeight="1" x14ac:dyDescent="0.2"/>
    <row r="6759" ht="12.75" customHeight="1" x14ac:dyDescent="0.2"/>
    <row r="6760" ht="12.75" customHeight="1" x14ac:dyDescent="0.2"/>
    <row r="6761" ht="12.75" customHeight="1" x14ac:dyDescent="0.2"/>
    <row r="6762" ht="12.75" customHeight="1" x14ac:dyDescent="0.2"/>
    <row r="6763" ht="12.75" customHeight="1" x14ac:dyDescent="0.2"/>
    <row r="6764" ht="12.75" customHeight="1" x14ac:dyDescent="0.2"/>
    <row r="6765" ht="12.75" customHeight="1" x14ac:dyDescent="0.2"/>
    <row r="6766" ht="12.75" customHeight="1" x14ac:dyDescent="0.2"/>
    <row r="6767" ht="12.75" customHeight="1" x14ac:dyDescent="0.2"/>
    <row r="6768" ht="12.75" customHeight="1" x14ac:dyDescent="0.2"/>
    <row r="6769" ht="12.75" customHeight="1" x14ac:dyDescent="0.2"/>
    <row r="6770" ht="12.75" customHeight="1" x14ac:dyDescent="0.2"/>
    <row r="6771" ht="12.75" customHeight="1" x14ac:dyDescent="0.2"/>
    <row r="6772" ht="12.75" customHeight="1" x14ac:dyDescent="0.2"/>
    <row r="6773" ht="12.75" customHeight="1" x14ac:dyDescent="0.2"/>
    <row r="6774" ht="12.75" customHeight="1" x14ac:dyDescent="0.2"/>
    <row r="6775" ht="12.75" customHeight="1" x14ac:dyDescent="0.2"/>
    <row r="6776" ht="12.75" customHeight="1" x14ac:dyDescent="0.2"/>
    <row r="6777" ht="12.75" customHeight="1" x14ac:dyDescent="0.2"/>
    <row r="6778" ht="12.75" customHeight="1" x14ac:dyDescent="0.2"/>
    <row r="6779" ht="12.75" customHeight="1" x14ac:dyDescent="0.2"/>
    <row r="6780" ht="12.75" customHeight="1" x14ac:dyDescent="0.2"/>
    <row r="6781" ht="12.75" customHeight="1" x14ac:dyDescent="0.2"/>
    <row r="6782" ht="12.75" customHeight="1" x14ac:dyDescent="0.2"/>
    <row r="6783" ht="12.75" customHeight="1" x14ac:dyDescent="0.2"/>
    <row r="6784" ht="12.75" customHeight="1" x14ac:dyDescent="0.2"/>
    <row r="6785" ht="12.75" customHeight="1" x14ac:dyDescent="0.2"/>
    <row r="6786" ht="12.75" customHeight="1" x14ac:dyDescent="0.2"/>
    <row r="6787" ht="12.75" customHeight="1" x14ac:dyDescent="0.2"/>
    <row r="6788" ht="12.75" customHeight="1" x14ac:dyDescent="0.2"/>
    <row r="6789" ht="12.75" customHeight="1" x14ac:dyDescent="0.2"/>
    <row r="6790" ht="12.75" customHeight="1" x14ac:dyDescent="0.2"/>
    <row r="6791" ht="12.75" customHeight="1" x14ac:dyDescent="0.2"/>
    <row r="6792" ht="12.75" customHeight="1" x14ac:dyDescent="0.2"/>
    <row r="6793" ht="12.75" customHeight="1" x14ac:dyDescent="0.2"/>
    <row r="6794" ht="12.75" customHeight="1" x14ac:dyDescent="0.2"/>
    <row r="6795" ht="12.75" customHeight="1" x14ac:dyDescent="0.2"/>
    <row r="6796" ht="12.75" customHeight="1" x14ac:dyDescent="0.2"/>
    <row r="6797" ht="12.75" customHeight="1" x14ac:dyDescent="0.2"/>
    <row r="6798" ht="12.75" customHeight="1" x14ac:dyDescent="0.2"/>
    <row r="6799" ht="12.75" customHeight="1" x14ac:dyDescent="0.2"/>
    <row r="6800" ht="12.75" customHeight="1" x14ac:dyDescent="0.2"/>
    <row r="6801" ht="12.75" customHeight="1" x14ac:dyDescent="0.2"/>
    <row r="6802" ht="12.75" customHeight="1" x14ac:dyDescent="0.2"/>
    <row r="6803" ht="12.75" customHeight="1" x14ac:dyDescent="0.2"/>
    <row r="6804" ht="12.75" customHeight="1" x14ac:dyDescent="0.2"/>
    <row r="6805" ht="12.75" customHeight="1" x14ac:dyDescent="0.2"/>
    <row r="6806" ht="12.75" customHeight="1" x14ac:dyDescent="0.2"/>
    <row r="6807" ht="12.75" customHeight="1" x14ac:dyDescent="0.2"/>
    <row r="6808" ht="12.75" customHeight="1" x14ac:dyDescent="0.2"/>
    <row r="6809" ht="12.75" customHeight="1" x14ac:dyDescent="0.2"/>
    <row r="6810" ht="12.75" customHeight="1" x14ac:dyDescent="0.2"/>
    <row r="6811" ht="12.75" customHeight="1" x14ac:dyDescent="0.2"/>
    <row r="6812" ht="12.75" customHeight="1" x14ac:dyDescent="0.2"/>
    <row r="6813" ht="12.75" customHeight="1" x14ac:dyDescent="0.2"/>
    <row r="6814" ht="12.75" customHeight="1" x14ac:dyDescent="0.2"/>
    <row r="6815" ht="12.75" customHeight="1" x14ac:dyDescent="0.2"/>
    <row r="6816" ht="12.75" customHeight="1" x14ac:dyDescent="0.2"/>
    <row r="6817" ht="12.75" customHeight="1" x14ac:dyDescent="0.2"/>
    <row r="6818" ht="12.75" customHeight="1" x14ac:dyDescent="0.2"/>
    <row r="6819" ht="12.75" customHeight="1" x14ac:dyDescent="0.2"/>
    <row r="6820" ht="12.75" customHeight="1" x14ac:dyDescent="0.2"/>
    <row r="6821" ht="12.75" customHeight="1" x14ac:dyDescent="0.2"/>
    <row r="6822" ht="12.75" customHeight="1" x14ac:dyDescent="0.2"/>
    <row r="6823" ht="12.75" customHeight="1" x14ac:dyDescent="0.2"/>
    <row r="6824" ht="12.75" customHeight="1" x14ac:dyDescent="0.2"/>
    <row r="6825" ht="12.75" customHeight="1" x14ac:dyDescent="0.2"/>
    <row r="6826" ht="12.75" customHeight="1" x14ac:dyDescent="0.2"/>
    <row r="6827" ht="12.75" customHeight="1" x14ac:dyDescent="0.2"/>
    <row r="6828" ht="12.75" customHeight="1" x14ac:dyDescent="0.2"/>
    <row r="6829" ht="12.75" customHeight="1" x14ac:dyDescent="0.2"/>
    <row r="6830" ht="12.75" customHeight="1" x14ac:dyDescent="0.2"/>
    <row r="6831" ht="12.75" customHeight="1" x14ac:dyDescent="0.2"/>
    <row r="6832" ht="12.75" customHeight="1" x14ac:dyDescent="0.2"/>
    <row r="6833" ht="12.75" customHeight="1" x14ac:dyDescent="0.2"/>
    <row r="6834" ht="12.75" customHeight="1" x14ac:dyDescent="0.2"/>
    <row r="6835" ht="12.75" customHeight="1" x14ac:dyDescent="0.2"/>
    <row r="6836" ht="12.75" customHeight="1" x14ac:dyDescent="0.2"/>
    <row r="6837" ht="12.75" customHeight="1" x14ac:dyDescent="0.2"/>
    <row r="6838" ht="12.75" customHeight="1" x14ac:dyDescent="0.2"/>
    <row r="6839" ht="12.75" customHeight="1" x14ac:dyDescent="0.2"/>
    <row r="6840" ht="12.75" customHeight="1" x14ac:dyDescent="0.2"/>
    <row r="6841" ht="12.75" customHeight="1" x14ac:dyDescent="0.2"/>
    <row r="6842" ht="12.75" customHeight="1" x14ac:dyDescent="0.2"/>
    <row r="6843" ht="12.75" customHeight="1" x14ac:dyDescent="0.2"/>
    <row r="6844" ht="12.75" customHeight="1" x14ac:dyDescent="0.2"/>
    <row r="6845" ht="12.75" customHeight="1" x14ac:dyDescent="0.2"/>
    <row r="6846" ht="12.75" customHeight="1" x14ac:dyDescent="0.2"/>
    <row r="6847" ht="12.75" customHeight="1" x14ac:dyDescent="0.2"/>
    <row r="6848" ht="12.75" customHeight="1" x14ac:dyDescent="0.2"/>
    <row r="6849" ht="12.75" customHeight="1" x14ac:dyDescent="0.2"/>
    <row r="6850" ht="12.75" customHeight="1" x14ac:dyDescent="0.2"/>
    <row r="6851" ht="12.75" customHeight="1" x14ac:dyDescent="0.2"/>
    <row r="6852" ht="12.75" customHeight="1" x14ac:dyDescent="0.2"/>
    <row r="6853" ht="12.75" customHeight="1" x14ac:dyDescent="0.2"/>
    <row r="6854" ht="12.75" customHeight="1" x14ac:dyDescent="0.2"/>
    <row r="6855" ht="12.75" customHeight="1" x14ac:dyDescent="0.2"/>
    <row r="6856" ht="12.75" customHeight="1" x14ac:dyDescent="0.2"/>
    <row r="6857" ht="12.75" customHeight="1" x14ac:dyDescent="0.2"/>
    <row r="6858" ht="12.75" customHeight="1" x14ac:dyDescent="0.2"/>
    <row r="6859" ht="12.75" customHeight="1" x14ac:dyDescent="0.2"/>
    <row r="6860" ht="12.75" customHeight="1" x14ac:dyDescent="0.2"/>
    <row r="6861" ht="12.75" customHeight="1" x14ac:dyDescent="0.2"/>
    <row r="6862" ht="12.75" customHeight="1" x14ac:dyDescent="0.2"/>
    <row r="6863" ht="12.75" customHeight="1" x14ac:dyDescent="0.2"/>
    <row r="6864" ht="12.75" customHeight="1" x14ac:dyDescent="0.2"/>
    <row r="6865" ht="12.75" customHeight="1" x14ac:dyDescent="0.2"/>
    <row r="6866" ht="12.75" customHeight="1" x14ac:dyDescent="0.2"/>
    <row r="6867" ht="12.75" customHeight="1" x14ac:dyDescent="0.2"/>
    <row r="6868" ht="12.75" customHeight="1" x14ac:dyDescent="0.2"/>
    <row r="6869" ht="12.75" customHeight="1" x14ac:dyDescent="0.2"/>
    <row r="6870" ht="12.75" customHeight="1" x14ac:dyDescent="0.2"/>
    <row r="6871" ht="12.75" customHeight="1" x14ac:dyDescent="0.2"/>
    <row r="6872" ht="12.75" customHeight="1" x14ac:dyDescent="0.2"/>
    <row r="6873" ht="12.75" customHeight="1" x14ac:dyDescent="0.2"/>
    <row r="6874" ht="12.75" customHeight="1" x14ac:dyDescent="0.2"/>
    <row r="6875" ht="12.75" customHeight="1" x14ac:dyDescent="0.2"/>
    <row r="6876" ht="12.75" customHeight="1" x14ac:dyDescent="0.2"/>
    <row r="6877" ht="12.75" customHeight="1" x14ac:dyDescent="0.2"/>
    <row r="6878" ht="12.75" customHeight="1" x14ac:dyDescent="0.2"/>
    <row r="6879" ht="12.75" customHeight="1" x14ac:dyDescent="0.2"/>
    <row r="6880" ht="12.75" customHeight="1" x14ac:dyDescent="0.2"/>
    <row r="6881" ht="12.75" customHeight="1" x14ac:dyDescent="0.2"/>
    <row r="6882" ht="12.75" customHeight="1" x14ac:dyDescent="0.2"/>
    <row r="6883" ht="12.75" customHeight="1" x14ac:dyDescent="0.2"/>
    <row r="6884" ht="12.75" customHeight="1" x14ac:dyDescent="0.2"/>
    <row r="6885" ht="12.75" customHeight="1" x14ac:dyDescent="0.2"/>
    <row r="6886" ht="12.75" customHeight="1" x14ac:dyDescent="0.2"/>
    <row r="6887" ht="12.75" customHeight="1" x14ac:dyDescent="0.2"/>
    <row r="6888" ht="12.75" customHeight="1" x14ac:dyDescent="0.2"/>
    <row r="6889" ht="12.75" customHeight="1" x14ac:dyDescent="0.2"/>
    <row r="6890" ht="12.75" customHeight="1" x14ac:dyDescent="0.2"/>
    <row r="6891" ht="12.75" customHeight="1" x14ac:dyDescent="0.2"/>
    <row r="6892" ht="12.75" customHeight="1" x14ac:dyDescent="0.2"/>
    <row r="6893" ht="12.75" customHeight="1" x14ac:dyDescent="0.2"/>
    <row r="6894" ht="12.75" customHeight="1" x14ac:dyDescent="0.2"/>
    <row r="6895" ht="12.75" customHeight="1" x14ac:dyDescent="0.2"/>
    <row r="6896" ht="12.75" customHeight="1" x14ac:dyDescent="0.2"/>
    <row r="6897" ht="12.75" customHeight="1" x14ac:dyDescent="0.2"/>
    <row r="6898" ht="12.75" customHeight="1" x14ac:dyDescent="0.2"/>
    <row r="6899" ht="12.75" customHeight="1" x14ac:dyDescent="0.2"/>
    <row r="6900" ht="12.75" customHeight="1" x14ac:dyDescent="0.2"/>
    <row r="6901" ht="12.75" customHeight="1" x14ac:dyDescent="0.2"/>
    <row r="6902" ht="12.75" customHeight="1" x14ac:dyDescent="0.2"/>
    <row r="6903" ht="12.75" customHeight="1" x14ac:dyDescent="0.2"/>
    <row r="6904" ht="12.75" customHeight="1" x14ac:dyDescent="0.2"/>
    <row r="6905" ht="12.75" customHeight="1" x14ac:dyDescent="0.2"/>
    <row r="6906" ht="12.75" customHeight="1" x14ac:dyDescent="0.2"/>
    <row r="6907" ht="12.75" customHeight="1" x14ac:dyDescent="0.2"/>
    <row r="6908" ht="12.75" customHeight="1" x14ac:dyDescent="0.2"/>
    <row r="6909" ht="12.75" customHeight="1" x14ac:dyDescent="0.2"/>
    <row r="6910" ht="12.75" customHeight="1" x14ac:dyDescent="0.2"/>
    <row r="6911" ht="12.75" customHeight="1" x14ac:dyDescent="0.2"/>
    <row r="6912" ht="12.75" customHeight="1" x14ac:dyDescent="0.2"/>
    <row r="6913" ht="12.75" customHeight="1" x14ac:dyDescent="0.2"/>
    <row r="6914" ht="12.75" customHeight="1" x14ac:dyDescent="0.2"/>
    <row r="6915" ht="12.75" customHeight="1" x14ac:dyDescent="0.2"/>
    <row r="6916" ht="12.75" customHeight="1" x14ac:dyDescent="0.2"/>
    <row r="6917" ht="12.75" customHeight="1" x14ac:dyDescent="0.2"/>
    <row r="6918" ht="12.75" customHeight="1" x14ac:dyDescent="0.2"/>
    <row r="6919" ht="12.75" customHeight="1" x14ac:dyDescent="0.2"/>
    <row r="6920" ht="12.75" customHeight="1" x14ac:dyDescent="0.2"/>
    <row r="6921" ht="12.75" customHeight="1" x14ac:dyDescent="0.2"/>
    <row r="6922" ht="12.75" customHeight="1" x14ac:dyDescent="0.2"/>
    <row r="6923" ht="12.75" customHeight="1" x14ac:dyDescent="0.2"/>
    <row r="6924" ht="12.75" customHeight="1" x14ac:dyDescent="0.2"/>
    <row r="6925" ht="12.75" customHeight="1" x14ac:dyDescent="0.2"/>
    <row r="6926" ht="12.75" customHeight="1" x14ac:dyDescent="0.2"/>
    <row r="6927" ht="12.75" customHeight="1" x14ac:dyDescent="0.2"/>
    <row r="6928" ht="12.75" customHeight="1" x14ac:dyDescent="0.2"/>
    <row r="6929" ht="12.75" customHeight="1" x14ac:dyDescent="0.2"/>
    <row r="6930" ht="12.75" customHeight="1" x14ac:dyDescent="0.2"/>
    <row r="6931" ht="12.75" customHeight="1" x14ac:dyDescent="0.2"/>
    <row r="6932" ht="12.75" customHeight="1" x14ac:dyDescent="0.2"/>
    <row r="6933" ht="12.75" customHeight="1" x14ac:dyDescent="0.2"/>
    <row r="6934" ht="12.75" customHeight="1" x14ac:dyDescent="0.2"/>
    <row r="6935" ht="12.75" customHeight="1" x14ac:dyDescent="0.2"/>
    <row r="6936" ht="12.75" customHeight="1" x14ac:dyDescent="0.2"/>
    <row r="6937" ht="12.75" customHeight="1" x14ac:dyDescent="0.2"/>
    <row r="6938" ht="12.75" customHeight="1" x14ac:dyDescent="0.2"/>
    <row r="6939" ht="12.75" customHeight="1" x14ac:dyDescent="0.2"/>
    <row r="6940" ht="12.75" customHeight="1" x14ac:dyDescent="0.2"/>
    <row r="6941" ht="12.75" customHeight="1" x14ac:dyDescent="0.2"/>
    <row r="6942" ht="12.75" customHeight="1" x14ac:dyDescent="0.2"/>
    <row r="6943" ht="12.75" customHeight="1" x14ac:dyDescent="0.2"/>
    <row r="6944" ht="12.75" customHeight="1" x14ac:dyDescent="0.2"/>
    <row r="6945" ht="12.75" customHeight="1" x14ac:dyDescent="0.2"/>
    <row r="6946" ht="12.75" customHeight="1" x14ac:dyDescent="0.2"/>
    <row r="6947" ht="12.75" customHeight="1" x14ac:dyDescent="0.2"/>
    <row r="6948" ht="12.75" customHeight="1" x14ac:dyDescent="0.2"/>
    <row r="6949" ht="12.75" customHeight="1" x14ac:dyDescent="0.2"/>
    <row r="6950" ht="12.75" customHeight="1" x14ac:dyDescent="0.2"/>
    <row r="6951" ht="12.75" customHeight="1" x14ac:dyDescent="0.2"/>
    <row r="6952" ht="12.75" customHeight="1" x14ac:dyDescent="0.2"/>
    <row r="6953" ht="12.75" customHeight="1" x14ac:dyDescent="0.2"/>
    <row r="6954" ht="12.75" customHeight="1" x14ac:dyDescent="0.2"/>
    <row r="6955" ht="12.75" customHeight="1" x14ac:dyDescent="0.2"/>
    <row r="6956" ht="12.75" customHeight="1" x14ac:dyDescent="0.2"/>
    <row r="6957" ht="12.75" customHeight="1" x14ac:dyDescent="0.2"/>
    <row r="6958" ht="12.75" customHeight="1" x14ac:dyDescent="0.2"/>
    <row r="6959" ht="12.75" customHeight="1" x14ac:dyDescent="0.2"/>
    <row r="6960" ht="12.75" customHeight="1" x14ac:dyDescent="0.2"/>
    <row r="6961" ht="12.75" customHeight="1" x14ac:dyDescent="0.2"/>
    <row r="6962" ht="12.75" customHeight="1" x14ac:dyDescent="0.2"/>
    <row r="6963" ht="12.75" customHeight="1" x14ac:dyDescent="0.2"/>
    <row r="6964" ht="12.75" customHeight="1" x14ac:dyDescent="0.2"/>
    <row r="6965" ht="12.75" customHeight="1" x14ac:dyDescent="0.2"/>
    <row r="6966" ht="12.75" customHeight="1" x14ac:dyDescent="0.2"/>
    <row r="6967" ht="12.75" customHeight="1" x14ac:dyDescent="0.2"/>
    <row r="6968" ht="12.75" customHeight="1" x14ac:dyDescent="0.2"/>
    <row r="6969" ht="12.75" customHeight="1" x14ac:dyDescent="0.2"/>
    <row r="6970" ht="12.75" customHeight="1" x14ac:dyDescent="0.2"/>
    <row r="6971" ht="12.75" customHeight="1" x14ac:dyDescent="0.2"/>
    <row r="6972" ht="12.75" customHeight="1" x14ac:dyDescent="0.2"/>
    <row r="6973" ht="12.75" customHeight="1" x14ac:dyDescent="0.2"/>
    <row r="6974" ht="12.75" customHeight="1" x14ac:dyDescent="0.2"/>
    <row r="6975" ht="12.75" customHeight="1" x14ac:dyDescent="0.2"/>
    <row r="6976" ht="12.75" customHeight="1" x14ac:dyDescent="0.2"/>
    <row r="6977" ht="12.75" customHeight="1" x14ac:dyDescent="0.2"/>
    <row r="6978" ht="12.75" customHeight="1" x14ac:dyDescent="0.2"/>
    <row r="6979" ht="12.75" customHeight="1" x14ac:dyDescent="0.2"/>
    <row r="6980" ht="12.75" customHeight="1" x14ac:dyDescent="0.2"/>
    <row r="6981" ht="12.75" customHeight="1" x14ac:dyDescent="0.2"/>
    <row r="6982" ht="12.75" customHeight="1" x14ac:dyDescent="0.2"/>
    <row r="6983" ht="12.75" customHeight="1" x14ac:dyDescent="0.2"/>
    <row r="6984" ht="12.75" customHeight="1" x14ac:dyDescent="0.2"/>
    <row r="6985" ht="12.75" customHeight="1" x14ac:dyDescent="0.2"/>
    <row r="6986" ht="12.75" customHeight="1" x14ac:dyDescent="0.2"/>
    <row r="6987" ht="12.75" customHeight="1" x14ac:dyDescent="0.2"/>
    <row r="6988" ht="12.75" customHeight="1" x14ac:dyDescent="0.2"/>
    <row r="6989" ht="12.75" customHeight="1" x14ac:dyDescent="0.2"/>
    <row r="6990" ht="12.75" customHeight="1" x14ac:dyDescent="0.2"/>
    <row r="6991" ht="12.75" customHeight="1" x14ac:dyDescent="0.2"/>
    <row r="6992" ht="12.75" customHeight="1" x14ac:dyDescent="0.2"/>
    <row r="6993" ht="12.75" customHeight="1" x14ac:dyDescent="0.2"/>
    <row r="6994" ht="12.75" customHeight="1" x14ac:dyDescent="0.2"/>
    <row r="6995" ht="12.75" customHeight="1" x14ac:dyDescent="0.2"/>
    <row r="6996" ht="12.75" customHeight="1" x14ac:dyDescent="0.2"/>
    <row r="6997" ht="12.75" customHeight="1" x14ac:dyDescent="0.2"/>
    <row r="6998" ht="12.75" customHeight="1" x14ac:dyDescent="0.2"/>
    <row r="6999" ht="12.75" customHeight="1" x14ac:dyDescent="0.2"/>
    <row r="7000" ht="12.75" customHeight="1" x14ac:dyDescent="0.2"/>
    <row r="7001" ht="12.75" customHeight="1" x14ac:dyDescent="0.2"/>
    <row r="7002" ht="12.75" customHeight="1" x14ac:dyDescent="0.2"/>
    <row r="7003" ht="12.75" customHeight="1" x14ac:dyDescent="0.2"/>
    <row r="7004" ht="12.75" customHeight="1" x14ac:dyDescent="0.2"/>
    <row r="7005" ht="12.75" customHeight="1" x14ac:dyDescent="0.2"/>
    <row r="7006" ht="12.75" customHeight="1" x14ac:dyDescent="0.2"/>
    <row r="7007" ht="12.75" customHeight="1" x14ac:dyDescent="0.2"/>
    <row r="7008" ht="12.75" customHeight="1" x14ac:dyDescent="0.2"/>
    <row r="7009" ht="12.75" customHeight="1" x14ac:dyDescent="0.2"/>
    <row r="7010" ht="12.75" customHeight="1" x14ac:dyDescent="0.2"/>
    <row r="7011" ht="12.75" customHeight="1" x14ac:dyDescent="0.2"/>
    <row r="7012" ht="12.75" customHeight="1" x14ac:dyDescent="0.2"/>
    <row r="7013" ht="12.75" customHeight="1" x14ac:dyDescent="0.2"/>
    <row r="7014" ht="12.75" customHeight="1" x14ac:dyDescent="0.2"/>
    <row r="7015" ht="12.75" customHeight="1" x14ac:dyDescent="0.2"/>
    <row r="7016" ht="12.75" customHeight="1" x14ac:dyDescent="0.2"/>
    <row r="7017" ht="12.75" customHeight="1" x14ac:dyDescent="0.2"/>
    <row r="7018" ht="12.75" customHeight="1" x14ac:dyDescent="0.2"/>
    <row r="7019" ht="12.75" customHeight="1" x14ac:dyDescent="0.2"/>
    <row r="7020" ht="12.75" customHeight="1" x14ac:dyDescent="0.2"/>
    <row r="7021" ht="12.75" customHeight="1" x14ac:dyDescent="0.2"/>
    <row r="7022" ht="12.75" customHeight="1" x14ac:dyDescent="0.2"/>
    <row r="7023" ht="12.75" customHeight="1" x14ac:dyDescent="0.2"/>
    <row r="7024" ht="12.75" customHeight="1" x14ac:dyDescent="0.2"/>
    <row r="7025" ht="12.75" customHeight="1" x14ac:dyDescent="0.2"/>
    <row r="7026" ht="12.75" customHeight="1" x14ac:dyDescent="0.2"/>
    <row r="7027" ht="12.75" customHeight="1" x14ac:dyDescent="0.2"/>
    <row r="7028" ht="12.75" customHeight="1" x14ac:dyDescent="0.2"/>
    <row r="7029" ht="12.75" customHeight="1" x14ac:dyDescent="0.2"/>
    <row r="7030" ht="12.75" customHeight="1" x14ac:dyDescent="0.2"/>
    <row r="7031" ht="12.75" customHeight="1" x14ac:dyDescent="0.2"/>
    <row r="7032" ht="12.75" customHeight="1" x14ac:dyDescent="0.2"/>
    <row r="7033" ht="12.75" customHeight="1" x14ac:dyDescent="0.2"/>
    <row r="7034" ht="12.75" customHeight="1" x14ac:dyDescent="0.2"/>
    <row r="7035" ht="12.75" customHeight="1" x14ac:dyDescent="0.2"/>
    <row r="7036" ht="12.75" customHeight="1" x14ac:dyDescent="0.2"/>
    <row r="7037" ht="12.75" customHeight="1" x14ac:dyDescent="0.2"/>
    <row r="7038" ht="12.75" customHeight="1" x14ac:dyDescent="0.2"/>
    <row r="7039" ht="12.75" customHeight="1" x14ac:dyDescent="0.2"/>
    <row r="7040" ht="12.75" customHeight="1" x14ac:dyDescent="0.2"/>
    <row r="7041" ht="12.75" customHeight="1" x14ac:dyDescent="0.2"/>
    <row r="7042" ht="12.75" customHeight="1" x14ac:dyDescent="0.2"/>
    <row r="7043" ht="12.75" customHeight="1" x14ac:dyDescent="0.2"/>
    <row r="7044" ht="12.75" customHeight="1" x14ac:dyDescent="0.2"/>
    <row r="7045" ht="12.75" customHeight="1" x14ac:dyDescent="0.2"/>
    <row r="7046" ht="12.75" customHeight="1" x14ac:dyDescent="0.2"/>
    <row r="7047" ht="12.75" customHeight="1" x14ac:dyDescent="0.2"/>
    <row r="7048" ht="12.75" customHeight="1" x14ac:dyDescent="0.2"/>
    <row r="7049" ht="12.75" customHeight="1" x14ac:dyDescent="0.2"/>
    <row r="7050" ht="12.75" customHeight="1" x14ac:dyDescent="0.2"/>
    <row r="7051" ht="12.75" customHeight="1" x14ac:dyDescent="0.2"/>
    <row r="7052" ht="12.75" customHeight="1" x14ac:dyDescent="0.2"/>
    <row r="7053" ht="12.75" customHeight="1" x14ac:dyDescent="0.2"/>
    <row r="7054" ht="12.75" customHeight="1" x14ac:dyDescent="0.2"/>
    <row r="7055" ht="12.75" customHeight="1" x14ac:dyDescent="0.2"/>
    <row r="7056" ht="12.75" customHeight="1" x14ac:dyDescent="0.2"/>
    <row r="7057" ht="12.75" customHeight="1" x14ac:dyDescent="0.2"/>
    <row r="7058" ht="12.75" customHeight="1" x14ac:dyDescent="0.2"/>
    <row r="7059" ht="12.75" customHeight="1" x14ac:dyDescent="0.2"/>
    <row r="7060" ht="12.75" customHeight="1" x14ac:dyDescent="0.2"/>
    <row r="7061" ht="12.75" customHeight="1" x14ac:dyDescent="0.2"/>
    <row r="7062" ht="12.75" customHeight="1" x14ac:dyDescent="0.2"/>
    <row r="7063" ht="12.75" customHeight="1" x14ac:dyDescent="0.2"/>
    <row r="7064" ht="12.75" customHeight="1" x14ac:dyDescent="0.2"/>
    <row r="7065" ht="12.75" customHeight="1" x14ac:dyDescent="0.2"/>
    <row r="7066" ht="12.75" customHeight="1" x14ac:dyDescent="0.2"/>
    <row r="7067" ht="12.75" customHeight="1" x14ac:dyDescent="0.2"/>
    <row r="7068" ht="12.75" customHeight="1" x14ac:dyDescent="0.2"/>
    <row r="7069" ht="12.75" customHeight="1" x14ac:dyDescent="0.2"/>
    <row r="7070" ht="12.75" customHeight="1" x14ac:dyDescent="0.2"/>
    <row r="7071" ht="12.75" customHeight="1" x14ac:dyDescent="0.2"/>
    <row r="7072" ht="12.75" customHeight="1" x14ac:dyDescent="0.2"/>
    <row r="7073" ht="12.75" customHeight="1" x14ac:dyDescent="0.2"/>
    <row r="7074" ht="12.75" customHeight="1" x14ac:dyDescent="0.2"/>
    <row r="7075" ht="12.75" customHeight="1" x14ac:dyDescent="0.2"/>
    <row r="7076" ht="12.75" customHeight="1" x14ac:dyDescent="0.2"/>
    <row r="7077" ht="12.75" customHeight="1" x14ac:dyDescent="0.2"/>
    <row r="7078" ht="12.75" customHeight="1" x14ac:dyDescent="0.2"/>
    <row r="7079" ht="12.75" customHeight="1" x14ac:dyDescent="0.2"/>
    <row r="7080" ht="12.75" customHeight="1" x14ac:dyDescent="0.2"/>
    <row r="7081" ht="12.75" customHeight="1" x14ac:dyDescent="0.2"/>
    <row r="7082" ht="12.75" customHeight="1" x14ac:dyDescent="0.2"/>
    <row r="7083" ht="12.75" customHeight="1" x14ac:dyDescent="0.2"/>
    <row r="7084" ht="12.75" customHeight="1" x14ac:dyDescent="0.2"/>
    <row r="7085" ht="12.75" customHeight="1" x14ac:dyDescent="0.2"/>
    <row r="7086" ht="12.75" customHeight="1" x14ac:dyDescent="0.2"/>
    <row r="7087" ht="12.75" customHeight="1" x14ac:dyDescent="0.2"/>
    <row r="7088" ht="12.75" customHeight="1" x14ac:dyDescent="0.2"/>
    <row r="7089" ht="12.75" customHeight="1" x14ac:dyDescent="0.2"/>
    <row r="7090" ht="12.75" customHeight="1" x14ac:dyDescent="0.2"/>
    <row r="7091" ht="12.75" customHeight="1" x14ac:dyDescent="0.2"/>
    <row r="7092" ht="12.75" customHeight="1" x14ac:dyDescent="0.2"/>
    <row r="7093" ht="12.75" customHeight="1" x14ac:dyDescent="0.2"/>
    <row r="7094" ht="12.75" customHeight="1" x14ac:dyDescent="0.2"/>
    <row r="7095" ht="12.75" customHeight="1" x14ac:dyDescent="0.2"/>
    <row r="7096" ht="12.75" customHeight="1" x14ac:dyDescent="0.2"/>
    <row r="7097" ht="12.75" customHeight="1" x14ac:dyDescent="0.2"/>
    <row r="7098" ht="12.75" customHeight="1" x14ac:dyDescent="0.2"/>
    <row r="7099" ht="12.75" customHeight="1" x14ac:dyDescent="0.2"/>
    <row r="7100" ht="12.75" customHeight="1" x14ac:dyDescent="0.2"/>
    <row r="7101" ht="12.75" customHeight="1" x14ac:dyDescent="0.2"/>
    <row r="7102" ht="12.75" customHeight="1" x14ac:dyDescent="0.2"/>
    <row r="7103" ht="12.75" customHeight="1" x14ac:dyDescent="0.2"/>
    <row r="7104" ht="12.75" customHeight="1" x14ac:dyDescent="0.2"/>
    <row r="7105" ht="12.75" customHeight="1" x14ac:dyDescent="0.2"/>
    <row r="7106" ht="12.75" customHeight="1" x14ac:dyDescent="0.2"/>
    <row r="7107" ht="12.75" customHeight="1" x14ac:dyDescent="0.2"/>
    <row r="7108" ht="12.75" customHeight="1" x14ac:dyDescent="0.2"/>
    <row r="7109" ht="12.75" customHeight="1" x14ac:dyDescent="0.2"/>
    <row r="7110" ht="12.75" customHeight="1" x14ac:dyDescent="0.2"/>
    <row r="7111" ht="12.75" customHeight="1" x14ac:dyDescent="0.2"/>
    <row r="7112" ht="12.75" customHeight="1" x14ac:dyDescent="0.2"/>
    <row r="7113" ht="12.75" customHeight="1" x14ac:dyDescent="0.2"/>
    <row r="7114" ht="12.75" customHeight="1" x14ac:dyDescent="0.2"/>
    <row r="7115" ht="12.75" customHeight="1" x14ac:dyDescent="0.2"/>
    <row r="7116" ht="12.75" customHeight="1" x14ac:dyDescent="0.2"/>
    <row r="7117" ht="12.75" customHeight="1" x14ac:dyDescent="0.2"/>
    <row r="7118" ht="12.75" customHeight="1" x14ac:dyDescent="0.2"/>
    <row r="7119" ht="12.75" customHeight="1" x14ac:dyDescent="0.2"/>
    <row r="7120" ht="12.75" customHeight="1" x14ac:dyDescent="0.2"/>
    <row r="7121" ht="12.75" customHeight="1" x14ac:dyDescent="0.2"/>
    <row r="7122" ht="12.75" customHeight="1" x14ac:dyDescent="0.2"/>
    <row r="7123" ht="12.75" customHeight="1" x14ac:dyDescent="0.2"/>
    <row r="7124" ht="12.75" customHeight="1" x14ac:dyDescent="0.2"/>
    <row r="7125" ht="12.75" customHeight="1" x14ac:dyDescent="0.2"/>
    <row r="7126" ht="12.75" customHeight="1" x14ac:dyDescent="0.2"/>
    <row r="7127" ht="12.75" customHeight="1" x14ac:dyDescent="0.2"/>
    <row r="7128" ht="12.75" customHeight="1" x14ac:dyDescent="0.2"/>
    <row r="7129" ht="12.75" customHeight="1" x14ac:dyDescent="0.2"/>
    <row r="7130" ht="12.75" customHeight="1" x14ac:dyDescent="0.2"/>
    <row r="7131" ht="12.75" customHeight="1" x14ac:dyDescent="0.2"/>
    <row r="7132" ht="12.75" customHeight="1" x14ac:dyDescent="0.2"/>
    <row r="7133" ht="12.75" customHeight="1" x14ac:dyDescent="0.2"/>
    <row r="7134" ht="12.75" customHeight="1" x14ac:dyDescent="0.2"/>
    <row r="7135" ht="12.75" customHeight="1" x14ac:dyDescent="0.2"/>
    <row r="7136" ht="12.75" customHeight="1" x14ac:dyDescent="0.2"/>
    <row r="7137" ht="12.75" customHeight="1" x14ac:dyDescent="0.2"/>
    <row r="7138" ht="12.75" customHeight="1" x14ac:dyDescent="0.2"/>
    <row r="7139" ht="12.75" customHeight="1" x14ac:dyDescent="0.2"/>
    <row r="7140" ht="12.75" customHeight="1" x14ac:dyDescent="0.2"/>
    <row r="7141" ht="12.75" customHeight="1" x14ac:dyDescent="0.2"/>
    <row r="7142" ht="12.75" customHeight="1" x14ac:dyDescent="0.2"/>
    <row r="7143" ht="12.75" customHeight="1" x14ac:dyDescent="0.2"/>
    <row r="7144" ht="12.75" customHeight="1" x14ac:dyDescent="0.2"/>
    <row r="7145" ht="12.75" customHeight="1" x14ac:dyDescent="0.2"/>
    <row r="7146" ht="12.75" customHeight="1" x14ac:dyDescent="0.2"/>
    <row r="7147" ht="12.75" customHeight="1" x14ac:dyDescent="0.2"/>
    <row r="7148" ht="12.75" customHeight="1" x14ac:dyDescent="0.2"/>
    <row r="7149" ht="12.75" customHeight="1" x14ac:dyDescent="0.2"/>
    <row r="7150" ht="12.75" customHeight="1" x14ac:dyDescent="0.2"/>
    <row r="7151" ht="12.75" customHeight="1" x14ac:dyDescent="0.2"/>
    <row r="7152" ht="12.75" customHeight="1" x14ac:dyDescent="0.2"/>
    <row r="7153" ht="12.75" customHeight="1" x14ac:dyDescent="0.2"/>
    <row r="7154" ht="12.75" customHeight="1" x14ac:dyDescent="0.2"/>
    <row r="7155" ht="12.75" customHeight="1" x14ac:dyDescent="0.2"/>
    <row r="7156" ht="12.75" customHeight="1" x14ac:dyDescent="0.2"/>
    <row r="7157" ht="12.75" customHeight="1" x14ac:dyDescent="0.2"/>
    <row r="7158" ht="12.75" customHeight="1" x14ac:dyDescent="0.2"/>
    <row r="7159" ht="12.75" customHeight="1" x14ac:dyDescent="0.2"/>
    <row r="7160" ht="12.75" customHeight="1" x14ac:dyDescent="0.2"/>
    <row r="7161" ht="12.75" customHeight="1" x14ac:dyDescent="0.2"/>
    <row r="7162" ht="12.75" customHeight="1" x14ac:dyDescent="0.2"/>
    <row r="7163" ht="12.75" customHeight="1" x14ac:dyDescent="0.2"/>
    <row r="7164" ht="12.75" customHeight="1" x14ac:dyDescent="0.2"/>
    <row r="7165" ht="12.75" customHeight="1" x14ac:dyDescent="0.2"/>
    <row r="7166" ht="12.75" customHeight="1" x14ac:dyDescent="0.2"/>
    <row r="7167" ht="12.75" customHeight="1" x14ac:dyDescent="0.2"/>
    <row r="7168" ht="12.75" customHeight="1" x14ac:dyDescent="0.2"/>
    <row r="7169" ht="12.75" customHeight="1" x14ac:dyDescent="0.2"/>
    <row r="7170" ht="12.75" customHeight="1" x14ac:dyDescent="0.2"/>
    <row r="7171" ht="12.75" customHeight="1" x14ac:dyDescent="0.2"/>
    <row r="7172" ht="12.75" customHeight="1" x14ac:dyDescent="0.2"/>
    <row r="7173" ht="12.75" customHeight="1" x14ac:dyDescent="0.2"/>
    <row r="7174" ht="12.75" customHeight="1" x14ac:dyDescent="0.2"/>
    <row r="7175" ht="12.75" customHeight="1" x14ac:dyDescent="0.2"/>
    <row r="7176" ht="12.75" customHeight="1" x14ac:dyDescent="0.2"/>
    <row r="7177" ht="12.75" customHeight="1" x14ac:dyDescent="0.2"/>
    <row r="7178" ht="12.75" customHeight="1" x14ac:dyDescent="0.2"/>
    <row r="7179" ht="12.75" customHeight="1" x14ac:dyDescent="0.2"/>
    <row r="7180" ht="12.75" customHeight="1" x14ac:dyDescent="0.2"/>
    <row r="7181" ht="12.75" customHeight="1" x14ac:dyDescent="0.2"/>
    <row r="7182" ht="12.75" customHeight="1" x14ac:dyDescent="0.2"/>
    <row r="7183" ht="12.75" customHeight="1" x14ac:dyDescent="0.2"/>
    <row r="7184" ht="12.75" customHeight="1" x14ac:dyDescent="0.2"/>
    <row r="7185" ht="12.75" customHeight="1" x14ac:dyDescent="0.2"/>
    <row r="7186" ht="12.75" customHeight="1" x14ac:dyDescent="0.2"/>
    <row r="7187" ht="12.75" customHeight="1" x14ac:dyDescent="0.2"/>
    <row r="7188" ht="12.75" customHeight="1" x14ac:dyDescent="0.2"/>
    <row r="7189" ht="12.75" customHeight="1" x14ac:dyDescent="0.2"/>
    <row r="7190" ht="12.75" customHeight="1" x14ac:dyDescent="0.2"/>
    <row r="7191" ht="12.75" customHeight="1" x14ac:dyDescent="0.2"/>
    <row r="7192" ht="12.75" customHeight="1" x14ac:dyDescent="0.2"/>
    <row r="7193" ht="12.75" customHeight="1" x14ac:dyDescent="0.2"/>
    <row r="7194" ht="12.75" customHeight="1" x14ac:dyDescent="0.2"/>
    <row r="7195" ht="12.75" customHeight="1" x14ac:dyDescent="0.2"/>
    <row r="7196" ht="12.75" customHeight="1" x14ac:dyDescent="0.2"/>
    <row r="7197" ht="12.75" customHeight="1" x14ac:dyDescent="0.2"/>
    <row r="7198" ht="12.75" customHeight="1" x14ac:dyDescent="0.2"/>
    <row r="7199" ht="12.75" customHeight="1" x14ac:dyDescent="0.2"/>
    <row r="7200" ht="12.75" customHeight="1" x14ac:dyDescent="0.2"/>
    <row r="7201" ht="12.75" customHeight="1" x14ac:dyDescent="0.2"/>
    <row r="7202" ht="12.75" customHeight="1" x14ac:dyDescent="0.2"/>
    <row r="7203" ht="12.75" customHeight="1" x14ac:dyDescent="0.2"/>
    <row r="7204" ht="12.75" customHeight="1" x14ac:dyDescent="0.2"/>
    <row r="7205" ht="12.75" customHeight="1" x14ac:dyDescent="0.2"/>
    <row r="7206" ht="12.75" customHeight="1" x14ac:dyDescent="0.2"/>
    <row r="7207" ht="12.75" customHeight="1" x14ac:dyDescent="0.2"/>
    <row r="7208" ht="12.75" customHeight="1" x14ac:dyDescent="0.2"/>
    <row r="7209" ht="12.75" customHeight="1" x14ac:dyDescent="0.2"/>
    <row r="7210" ht="12.75" customHeight="1" x14ac:dyDescent="0.2"/>
    <row r="7211" ht="12.75" customHeight="1" x14ac:dyDescent="0.2"/>
    <row r="7212" ht="12.75" customHeight="1" x14ac:dyDescent="0.2"/>
    <row r="7213" ht="12.75" customHeight="1" x14ac:dyDescent="0.2"/>
    <row r="7214" ht="12.75" customHeight="1" x14ac:dyDescent="0.2"/>
    <row r="7215" ht="12.75" customHeight="1" x14ac:dyDescent="0.2"/>
    <row r="7216" ht="12.75" customHeight="1" x14ac:dyDescent="0.2"/>
    <row r="7217" ht="12.75" customHeight="1" x14ac:dyDescent="0.2"/>
    <row r="7218" ht="12.75" customHeight="1" x14ac:dyDescent="0.2"/>
    <row r="7219" ht="12.75" customHeight="1" x14ac:dyDescent="0.2"/>
    <row r="7220" ht="12.75" customHeight="1" x14ac:dyDescent="0.2"/>
    <row r="7221" ht="12.75" customHeight="1" x14ac:dyDescent="0.2"/>
    <row r="7222" ht="12.75" customHeight="1" x14ac:dyDescent="0.2"/>
    <row r="7223" ht="12.75" customHeight="1" x14ac:dyDescent="0.2"/>
    <row r="7224" ht="12.75" customHeight="1" x14ac:dyDescent="0.2"/>
    <row r="7225" ht="12.75" customHeight="1" x14ac:dyDescent="0.2"/>
    <row r="7226" ht="12.75" customHeight="1" x14ac:dyDescent="0.2"/>
    <row r="7227" ht="12.75" customHeight="1" x14ac:dyDescent="0.2"/>
    <row r="7228" ht="12.75" customHeight="1" x14ac:dyDescent="0.2"/>
    <row r="7229" ht="12.75" customHeight="1" x14ac:dyDescent="0.2"/>
    <row r="7230" ht="12.75" customHeight="1" x14ac:dyDescent="0.2"/>
    <row r="7231" ht="12.75" customHeight="1" x14ac:dyDescent="0.2"/>
    <row r="7232" ht="12.75" customHeight="1" x14ac:dyDescent="0.2"/>
    <row r="7233" ht="12.75" customHeight="1" x14ac:dyDescent="0.2"/>
    <row r="7234" ht="12.75" customHeight="1" x14ac:dyDescent="0.2"/>
    <row r="7235" ht="12.75" customHeight="1" x14ac:dyDescent="0.2"/>
    <row r="7236" ht="12.75" customHeight="1" x14ac:dyDescent="0.2"/>
    <row r="7237" ht="12.75" customHeight="1" x14ac:dyDescent="0.2"/>
    <row r="7238" ht="12.75" customHeight="1" x14ac:dyDescent="0.2"/>
    <row r="7239" ht="12.75" customHeight="1" x14ac:dyDescent="0.2"/>
    <row r="7240" ht="12.75" customHeight="1" x14ac:dyDescent="0.2"/>
    <row r="7241" ht="12.75" customHeight="1" x14ac:dyDescent="0.2"/>
    <row r="7242" ht="12.75" customHeight="1" x14ac:dyDescent="0.2"/>
    <row r="7243" ht="12.75" customHeight="1" x14ac:dyDescent="0.2"/>
    <row r="7244" ht="12.75" customHeight="1" x14ac:dyDescent="0.2"/>
    <row r="7245" ht="12.75" customHeight="1" x14ac:dyDescent="0.2"/>
    <row r="7246" ht="12.75" customHeight="1" x14ac:dyDescent="0.2"/>
    <row r="7247" ht="12.75" customHeight="1" x14ac:dyDescent="0.2"/>
    <row r="7248" ht="12.75" customHeight="1" x14ac:dyDescent="0.2"/>
    <row r="7249" ht="12.75" customHeight="1" x14ac:dyDescent="0.2"/>
    <row r="7250" ht="12.75" customHeight="1" x14ac:dyDescent="0.2"/>
    <row r="7251" ht="12.75" customHeight="1" x14ac:dyDescent="0.2"/>
    <row r="7252" ht="12.75" customHeight="1" x14ac:dyDescent="0.2"/>
    <row r="7253" ht="12.75" customHeight="1" x14ac:dyDescent="0.2"/>
    <row r="7254" ht="12.75" customHeight="1" x14ac:dyDescent="0.2"/>
    <row r="7255" ht="12.75" customHeight="1" x14ac:dyDescent="0.2"/>
    <row r="7256" ht="12.75" customHeight="1" x14ac:dyDescent="0.2"/>
    <row r="7257" ht="12.75" customHeight="1" x14ac:dyDescent="0.2"/>
    <row r="7258" ht="12.75" customHeight="1" x14ac:dyDescent="0.2"/>
    <row r="7259" ht="12.75" customHeight="1" x14ac:dyDescent="0.2"/>
    <row r="7260" ht="12.75" customHeight="1" x14ac:dyDescent="0.2"/>
    <row r="7261" ht="12.75" customHeight="1" x14ac:dyDescent="0.2"/>
    <row r="7262" ht="12.75" customHeight="1" x14ac:dyDescent="0.2"/>
    <row r="7263" ht="12.75" customHeight="1" x14ac:dyDescent="0.2"/>
    <row r="7264" ht="12.75" customHeight="1" x14ac:dyDescent="0.2"/>
    <row r="7265" ht="12.75" customHeight="1" x14ac:dyDescent="0.2"/>
    <row r="7266" ht="12.75" customHeight="1" x14ac:dyDescent="0.2"/>
    <row r="7267" ht="12.75" customHeight="1" x14ac:dyDescent="0.2"/>
    <row r="7268" ht="12.75" customHeight="1" x14ac:dyDescent="0.2"/>
    <row r="7269" ht="12.75" customHeight="1" x14ac:dyDescent="0.2"/>
    <row r="7270" ht="12.75" customHeight="1" x14ac:dyDescent="0.2"/>
    <row r="7271" ht="12.75" customHeight="1" x14ac:dyDescent="0.2"/>
    <row r="7272" ht="12.75" customHeight="1" x14ac:dyDescent="0.2"/>
    <row r="7273" ht="12.75" customHeight="1" x14ac:dyDescent="0.2"/>
    <row r="7274" ht="12.75" customHeight="1" x14ac:dyDescent="0.2"/>
    <row r="7275" ht="12.75" customHeight="1" x14ac:dyDescent="0.2"/>
    <row r="7276" ht="12.75" customHeight="1" x14ac:dyDescent="0.2"/>
    <row r="7277" ht="12.75" customHeight="1" x14ac:dyDescent="0.2"/>
    <row r="7278" ht="12.75" customHeight="1" x14ac:dyDescent="0.2"/>
    <row r="7279" ht="12.75" customHeight="1" x14ac:dyDescent="0.2"/>
    <row r="7280" ht="12.75" customHeight="1" x14ac:dyDescent="0.2"/>
    <row r="7281" ht="12.75" customHeight="1" x14ac:dyDescent="0.2"/>
    <row r="7282" ht="12.75" customHeight="1" x14ac:dyDescent="0.2"/>
    <row r="7283" ht="12.75" customHeight="1" x14ac:dyDescent="0.2"/>
    <row r="7284" ht="12.75" customHeight="1" x14ac:dyDescent="0.2"/>
    <row r="7285" ht="12.75" customHeight="1" x14ac:dyDescent="0.2"/>
    <row r="7286" ht="12.75" customHeight="1" x14ac:dyDescent="0.2"/>
    <row r="7287" ht="12.75" customHeight="1" x14ac:dyDescent="0.2"/>
    <row r="7288" ht="12.75" customHeight="1" x14ac:dyDescent="0.2"/>
    <row r="7289" ht="12.75" customHeight="1" x14ac:dyDescent="0.2"/>
    <row r="7290" ht="12.75" customHeight="1" x14ac:dyDescent="0.2"/>
    <row r="7291" ht="12.75" customHeight="1" x14ac:dyDescent="0.2"/>
    <row r="7292" ht="12.75" customHeight="1" x14ac:dyDescent="0.2"/>
    <row r="7293" ht="12.75" customHeight="1" x14ac:dyDescent="0.2"/>
    <row r="7294" ht="12.75" customHeight="1" x14ac:dyDescent="0.2"/>
    <row r="7295" ht="12.75" customHeight="1" x14ac:dyDescent="0.2"/>
    <row r="7296" ht="12.75" customHeight="1" x14ac:dyDescent="0.2"/>
    <row r="7297" ht="12.75" customHeight="1" x14ac:dyDescent="0.2"/>
    <row r="7298" ht="12.75" customHeight="1" x14ac:dyDescent="0.2"/>
    <row r="7299" ht="12.75" customHeight="1" x14ac:dyDescent="0.2"/>
    <row r="7300" ht="12.75" customHeight="1" x14ac:dyDescent="0.2"/>
    <row r="7301" ht="12.75" customHeight="1" x14ac:dyDescent="0.2"/>
    <row r="7302" ht="12.75" customHeight="1" x14ac:dyDescent="0.2"/>
    <row r="7303" ht="12.75" customHeight="1" x14ac:dyDescent="0.2"/>
    <row r="7304" ht="12.75" customHeight="1" x14ac:dyDescent="0.2"/>
    <row r="7305" ht="12.75" customHeight="1" x14ac:dyDescent="0.2"/>
    <row r="7306" ht="12.75" customHeight="1" x14ac:dyDescent="0.2"/>
    <row r="7307" ht="12.75" customHeight="1" x14ac:dyDescent="0.2"/>
    <row r="7308" ht="12.75" customHeight="1" x14ac:dyDescent="0.2"/>
    <row r="7309" ht="12.75" customHeight="1" x14ac:dyDescent="0.2"/>
    <row r="7310" ht="12.75" customHeight="1" x14ac:dyDescent="0.2"/>
    <row r="7311" ht="12.75" customHeight="1" x14ac:dyDescent="0.2"/>
    <row r="7312" ht="12.75" customHeight="1" x14ac:dyDescent="0.2"/>
    <row r="7313" ht="12.75" customHeight="1" x14ac:dyDescent="0.2"/>
    <row r="7314" ht="12.75" customHeight="1" x14ac:dyDescent="0.2"/>
    <row r="7315" ht="12.75" customHeight="1" x14ac:dyDescent="0.2"/>
    <row r="7316" ht="12.75" customHeight="1" x14ac:dyDescent="0.2"/>
    <row r="7317" ht="12.75" customHeight="1" x14ac:dyDescent="0.2"/>
    <row r="7318" ht="12.75" customHeight="1" x14ac:dyDescent="0.2"/>
    <row r="7319" ht="12.75" customHeight="1" x14ac:dyDescent="0.2"/>
    <row r="7320" ht="12.75" customHeight="1" x14ac:dyDescent="0.2"/>
    <row r="7321" ht="12.75" customHeight="1" x14ac:dyDescent="0.2"/>
    <row r="7322" ht="12.75" customHeight="1" x14ac:dyDescent="0.2"/>
    <row r="7323" ht="12.75" customHeight="1" x14ac:dyDescent="0.2"/>
    <row r="7324" ht="12.75" customHeight="1" x14ac:dyDescent="0.2"/>
    <row r="7325" ht="12.75" customHeight="1" x14ac:dyDescent="0.2"/>
    <row r="7326" ht="12.75" customHeight="1" x14ac:dyDescent="0.2"/>
    <row r="7327" ht="12.75" customHeight="1" x14ac:dyDescent="0.2"/>
    <row r="7328" ht="12.75" customHeight="1" x14ac:dyDescent="0.2"/>
    <row r="7329" ht="12.75" customHeight="1" x14ac:dyDescent="0.2"/>
    <row r="7330" ht="12.75" customHeight="1" x14ac:dyDescent="0.2"/>
    <row r="7331" ht="12.75" customHeight="1" x14ac:dyDescent="0.2"/>
    <row r="7332" ht="12.75" customHeight="1" x14ac:dyDescent="0.2"/>
    <row r="7333" ht="12.75" customHeight="1" x14ac:dyDescent="0.2"/>
    <row r="7334" ht="12.75" customHeight="1" x14ac:dyDescent="0.2"/>
    <row r="7335" ht="12.75" customHeight="1" x14ac:dyDescent="0.2"/>
    <row r="7336" ht="12.75" customHeight="1" x14ac:dyDescent="0.2"/>
    <row r="7337" ht="12.75" customHeight="1" x14ac:dyDescent="0.2"/>
    <row r="7338" ht="12.75" customHeight="1" x14ac:dyDescent="0.2"/>
    <row r="7339" ht="12.75" customHeight="1" x14ac:dyDescent="0.2"/>
    <row r="7340" ht="12.75" customHeight="1" x14ac:dyDescent="0.2"/>
    <row r="7341" ht="12.75" customHeight="1" x14ac:dyDescent="0.2"/>
    <row r="7342" ht="12.75" customHeight="1" x14ac:dyDescent="0.2"/>
    <row r="7343" ht="12.75" customHeight="1" x14ac:dyDescent="0.2"/>
    <row r="7344" ht="12.75" customHeight="1" x14ac:dyDescent="0.2"/>
    <row r="7345" ht="12.75" customHeight="1" x14ac:dyDescent="0.2"/>
    <row r="7346" ht="12.75" customHeight="1" x14ac:dyDescent="0.2"/>
    <row r="7347" ht="12.75" customHeight="1" x14ac:dyDescent="0.2"/>
    <row r="7348" ht="12.75" customHeight="1" x14ac:dyDescent="0.2"/>
    <row r="7349" ht="12.75" customHeight="1" x14ac:dyDescent="0.2"/>
    <row r="7350" ht="12.75" customHeight="1" x14ac:dyDescent="0.2"/>
    <row r="7351" ht="12.75" customHeight="1" x14ac:dyDescent="0.2"/>
    <row r="7352" ht="12.75" customHeight="1" x14ac:dyDescent="0.2"/>
    <row r="7353" ht="12.75" customHeight="1" x14ac:dyDescent="0.2"/>
    <row r="7354" ht="12.75" customHeight="1" x14ac:dyDescent="0.2"/>
    <row r="7355" ht="12.75" customHeight="1" x14ac:dyDescent="0.2"/>
    <row r="7356" ht="12.75" customHeight="1" x14ac:dyDescent="0.2"/>
    <row r="7357" ht="12.75" customHeight="1" x14ac:dyDescent="0.2"/>
    <row r="7358" ht="12.75" customHeight="1" x14ac:dyDescent="0.2"/>
    <row r="7359" ht="12.75" customHeight="1" x14ac:dyDescent="0.2"/>
    <row r="7360" ht="12.75" customHeight="1" x14ac:dyDescent="0.2"/>
    <row r="7361" ht="12.75" customHeight="1" x14ac:dyDescent="0.2"/>
    <row r="7362" ht="12.75" customHeight="1" x14ac:dyDescent="0.2"/>
    <row r="7363" ht="12.75" customHeight="1" x14ac:dyDescent="0.2"/>
    <row r="7364" ht="12.75" customHeight="1" x14ac:dyDescent="0.2"/>
    <row r="7365" ht="12.75" customHeight="1" x14ac:dyDescent="0.2"/>
    <row r="7366" ht="12.75" customHeight="1" x14ac:dyDescent="0.2"/>
    <row r="7367" ht="12.75" customHeight="1" x14ac:dyDescent="0.2"/>
    <row r="7368" ht="12.75" customHeight="1" x14ac:dyDescent="0.2"/>
    <row r="7369" ht="12.75" customHeight="1" x14ac:dyDescent="0.2"/>
    <row r="7370" ht="12.75" customHeight="1" x14ac:dyDescent="0.2"/>
    <row r="7371" ht="12.75" customHeight="1" x14ac:dyDescent="0.2"/>
    <row r="7372" ht="12.75" customHeight="1" x14ac:dyDescent="0.2"/>
    <row r="7373" ht="12.75" customHeight="1" x14ac:dyDescent="0.2"/>
    <row r="7374" ht="12.75" customHeight="1" x14ac:dyDescent="0.2"/>
    <row r="7375" ht="12.75" customHeight="1" x14ac:dyDescent="0.2"/>
    <row r="7376" ht="12.75" customHeight="1" x14ac:dyDescent="0.2"/>
    <row r="7377" ht="12.75" customHeight="1" x14ac:dyDescent="0.2"/>
    <row r="7378" ht="12.75" customHeight="1" x14ac:dyDescent="0.2"/>
    <row r="7379" ht="12.75" customHeight="1" x14ac:dyDescent="0.2"/>
    <row r="7380" ht="12.75" customHeight="1" x14ac:dyDescent="0.2"/>
    <row r="7381" ht="12.75" customHeight="1" x14ac:dyDescent="0.2"/>
    <row r="7382" ht="12.75" customHeight="1" x14ac:dyDescent="0.2"/>
    <row r="7383" ht="12.75" customHeight="1" x14ac:dyDescent="0.2"/>
    <row r="7384" ht="12.75" customHeight="1" x14ac:dyDescent="0.2"/>
    <row r="7385" ht="12.75" customHeight="1" x14ac:dyDescent="0.2"/>
    <row r="7386" ht="12.75" customHeight="1" x14ac:dyDescent="0.2"/>
    <row r="7387" ht="12.75" customHeight="1" x14ac:dyDescent="0.2"/>
    <row r="7388" ht="12.75" customHeight="1" x14ac:dyDescent="0.2"/>
    <row r="7389" ht="12.75" customHeight="1" x14ac:dyDescent="0.2"/>
    <row r="7390" ht="12.75" customHeight="1" x14ac:dyDescent="0.2"/>
    <row r="7391" ht="12.75" customHeight="1" x14ac:dyDescent="0.2"/>
    <row r="7392" ht="12.75" customHeight="1" x14ac:dyDescent="0.2"/>
    <row r="7393" ht="12.75" customHeight="1" x14ac:dyDescent="0.2"/>
    <row r="7394" ht="12.75" customHeight="1" x14ac:dyDescent="0.2"/>
    <row r="7395" ht="12.75" customHeight="1" x14ac:dyDescent="0.2"/>
    <row r="7396" ht="12.75" customHeight="1" x14ac:dyDescent="0.2"/>
    <row r="7397" ht="12.75" customHeight="1" x14ac:dyDescent="0.2"/>
    <row r="7398" ht="12.75" customHeight="1" x14ac:dyDescent="0.2"/>
    <row r="7399" ht="12.75" customHeight="1" x14ac:dyDescent="0.2"/>
    <row r="7400" ht="12.75" customHeight="1" x14ac:dyDescent="0.2"/>
    <row r="7401" ht="12.75" customHeight="1" x14ac:dyDescent="0.2"/>
    <row r="7402" ht="12.75" customHeight="1" x14ac:dyDescent="0.2"/>
    <row r="7403" ht="12.75" customHeight="1" x14ac:dyDescent="0.2"/>
    <row r="7404" ht="12.75" customHeight="1" x14ac:dyDescent="0.2"/>
    <row r="7405" ht="12.75" customHeight="1" x14ac:dyDescent="0.2"/>
    <row r="7406" ht="12.75" customHeight="1" x14ac:dyDescent="0.2"/>
    <row r="7407" ht="12.75" customHeight="1" x14ac:dyDescent="0.2"/>
    <row r="7408" ht="12.75" customHeight="1" x14ac:dyDescent="0.2"/>
    <row r="7409" ht="12.75" customHeight="1" x14ac:dyDescent="0.2"/>
    <row r="7410" ht="12.75" customHeight="1" x14ac:dyDescent="0.2"/>
    <row r="7411" ht="12.75" customHeight="1" x14ac:dyDescent="0.2"/>
    <row r="7412" ht="12.75" customHeight="1" x14ac:dyDescent="0.2"/>
    <row r="7413" ht="12.75" customHeight="1" x14ac:dyDescent="0.2"/>
    <row r="7414" ht="12.75" customHeight="1" x14ac:dyDescent="0.2"/>
    <row r="7415" ht="12.75" customHeight="1" x14ac:dyDescent="0.2"/>
    <row r="7416" ht="12.75" customHeight="1" x14ac:dyDescent="0.2"/>
    <row r="7417" ht="12.75" customHeight="1" x14ac:dyDescent="0.2"/>
    <row r="7418" ht="12.75" customHeight="1" x14ac:dyDescent="0.2"/>
    <row r="7419" ht="12.75" customHeight="1" x14ac:dyDescent="0.2"/>
    <row r="7420" ht="12.75" customHeight="1" x14ac:dyDescent="0.2"/>
    <row r="7421" ht="12.75" customHeight="1" x14ac:dyDescent="0.2"/>
    <row r="7422" ht="12.75" customHeight="1" x14ac:dyDescent="0.2"/>
    <row r="7423" ht="12.75" customHeight="1" x14ac:dyDescent="0.2"/>
    <row r="7424" ht="12.75" customHeight="1" x14ac:dyDescent="0.2"/>
    <row r="7425" ht="12.75" customHeight="1" x14ac:dyDescent="0.2"/>
    <row r="7426" ht="12.75" customHeight="1" x14ac:dyDescent="0.2"/>
    <row r="7427" ht="12.75" customHeight="1" x14ac:dyDescent="0.2"/>
    <row r="7428" ht="12.75" customHeight="1" x14ac:dyDescent="0.2"/>
    <row r="7429" ht="12.75" customHeight="1" x14ac:dyDescent="0.2"/>
    <row r="7430" ht="12.75" customHeight="1" x14ac:dyDescent="0.2"/>
    <row r="7431" ht="12.75" customHeight="1" x14ac:dyDescent="0.2"/>
    <row r="7432" ht="12.75" customHeight="1" x14ac:dyDescent="0.2"/>
    <row r="7433" ht="12.75" customHeight="1" x14ac:dyDescent="0.2"/>
    <row r="7434" ht="12.75" customHeight="1" x14ac:dyDescent="0.2"/>
    <row r="7435" ht="12.75" customHeight="1" x14ac:dyDescent="0.2"/>
    <row r="7436" ht="12.75" customHeight="1" x14ac:dyDescent="0.2"/>
    <row r="7437" ht="12.75" customHeight="1" x14ac:dyDescent="0.2"/>
    <row r="7438" ht="12.75" customHeight="1" x14ac:dyDescent="0.2"/>
    <row r="7439" ht="12.75" customHeight="1" x14ac:dyDescent="0.2"/>
    <row r="7440" ht="12.75" customHeight="1" x14ac:dyDescent="0.2"/>
    <row r="7441" ht="12.75" customHeight="1" x14ac:dyDescent="0.2"/>
    <row r="7442" ht="12.75" customHeight="1" x14ac:dyDescent="0.2"/>
    <row r="7443" ht="12.75" customHeight="1" x14ac:dyDescent="0.2"/>
    <row r="7444" ht="12.75" customHeight="1" x14ac:dyDescent="0.2"/>
    <row r="7445" ht="12.75" customHeight="1" x14ac:dyDescent="0.2"/>
    <row r="7446" ht="12.75" customHeight="1" x14ac:dyDescent="0.2"/>
    <row r="7447" ht="12.75" customHeight="1" x14ac:dyDescent="0.2"/>
    <row r="7448" ht="12.75" customHeight="1" x14ac:dyDescent="0.2"/>
    <row r="7449" ht="12.75" customHeight="1" x14ac:dyDescent="0.2"/>
    <row r="7450" ht="12.75" customHeight="1" x14ac:dyDescent="0.2"/>
    <row r="7451" ht="12.75" customHeight="1" x14ac:dyDescent="0.2"/>
    <row r="7452" ht="12.75" customHeight="1" x14ac:dyDescent="0.2"/>
    <row r="7453" ht="12.75" customHeight="1" x14ac:dyDescent="0.2"/>
    <row r="7454" ht="12.75" customHeight="1" x14ac:dyDescent="0.2"/>
    <row r="7455" ht="12.75" customHeight="1" x14ac:dyDescent="0.2"/>
    <row r="7456" ht="12.75" customHeight="1" x14ac:dyDescent="0.2"/>
    <row r="7457" ht="12.75" customHeight="1" x14ac:dyDescent="0.2"/>
    <row r="7458" ht="12.75" customHeight="1" x14ac:dyDescent="0.2"/>
    <row r="7459" ht="12.75" customHeight="1" x14ac:dyDescent="0.2"/>
    <row r="7460" ht="12.75" customHeight="1" x14ac:dyDescent="0.2"/>
    <row r="7461" ht="12.75" customHeight="1" x14ac:dyDescent="0.2"/>
    <row r="7462" ht="12.75" customHeight="1" x14ac:dyDescent="0.2"/>
    <row r="7463" ht="12.75" customHeight="1" x14ac:dyDescent="0.2"/>
    <row r="7464" ht="12.75" customHeight="1" x14ac:dyDescent="0.2"/>
    <row r="7465" ht="12.75" customHeight="1" x14ac:dyDescent="0.2"/>
    <row r="7466" ht="12.75" customHeight="1" x14ac:dyDescent="0.2"/>
    <row r="7467" ht="12.75" customHeight="1" x14ac:dyDescent="0.2"/>
    <row r="7468" ht="12.75" customHeight="1" x14ac:dyDescent="0.2"/>
    <row r="7469" ht="12.75" customHeight="1" x14ac:dyDescent="0.2"/>
    <row r="7470" ht="12.75" customHeight="1" x14ac:dyDescent="0.2"/>
    <row r="7471" ht="12.75" customHeight="1" x14ac:dyDescent="0.2"/>
    <row r="7472" ht="12.75" customHeight="1" x14ac:dyDescent="0.2"/>
    <row r="7473" ht="12.75" customHeight="1" x14ac:dyDescent="0.2"/>
    <row r="7474" ht="12.75" customHeight="1" x14ac:dyDescent="0.2"/>
    <row r="7475" ht="12.75" customHeight="1" x14ac:dyDescent="0.2"/>
    <row r="7476" ht="12.75" customHeight="1" x14ac:dyDescent="0.2"/>
    <row r="7477" ht="12.75" customHeight="1" x14ac:dyDescent="0.2"/>
    <row r="7478" ht="12.75" customHeight="1" x14ac:dyDescent="0.2"/>
    <row r="7479" ht="12.75" customHeight="1" x14ac:dyDescent="0.2"/>
    <row r="7480" ht="12.75" customHeight="1" x14ac:dyDescent="0.2"/>
    <row r="7481" ht="12.75" customHeight="1" x14ac:dyDescent="0.2"/>
    <row r="7482" ht="12.75" customHeight="1" x14ac:dyDescent="0.2"/>
    <row r="7483" ht="12.75" customHeight="1" x14ac:dyDescent="0.2"/>
    <row r="7484" ht="12.75" customHeight="1" x14ac:dyDescent="0.2"/>
    <row r="7485" ht="12.75" customHeight="1" x14ac:dyDescent="0.2"/>
    <row r="7486" ht="12.75" customHeight="1" x14ac:dyDescent="0.2"/>
    <row r="7487" ht="12.75" customHeight="1" x14ac:dyDescent="0.2"/>
    <row r="7488" ht="12.75" customHeight="1" x14ac:dyDescent="0.2"/>
    <row r="7489" ht="12.75" customHeight="1" x14ac:dyDescent="0.2"/>
    <row r="7490" ht="12.75" customHeight="1" x14ac:dyDescent="0.2"/>
    <row r="7491" ht="12.75" customHeight="1" x14ac:dyDescent="0.2"/>
    <row r="7492" ht="12.75" customHeight="1" x14ac:dyDescent="0.2"/>
    <row r="7493" ht="12.75" customHeight="1" x14ac:dyDescent="0.2"/>
    <row r="7494" ht="12.75" customHeight="1" x14ac:dyDescent="0.2"/>
    <row r="7495" ht="12.75" customHeight="1" x14ac:dyDescent="0.2"/>
    <row r="7496" ht="12.75" customHeight="1" x14ac:dyDescent="0.2"/>
    <row r="7497" ht="12.75" customHeight="1" x14ac:dyDescent="0.2"/>
    <row r="7498" ht="12.75" customHeight="1" x14ac:dyDescent="0.2"/>
    <row r="7499" ht="12.75" customHeight="1" x14ac:dyDescent="0.2"/>
    <row r="7500" ht="12.75" customHeight="1" x14ac:dyDescent="0.2"/>
    <row r="7501" ht="12.75" customHeight="1" x14ac:dyDescent="0.2"/>
    <row r="7502" ht="12.75" customHeight="1" x14ac:dyDescent="0.2"/>
    <row r="7503" ht="12.75" customHeight="1" x14ac:dyDescent="0.2"/>
    <row r="7504" ht="12.75" customHeight="1" x14ac:dyDescent="0.2"/>
    <row r="7505" ht="12.75" customHeight="1" x14ac:dyDescent="0.2"/>
    <row r="7506" ht="12.75" customHeight="1" x14ac:dyDescent="0.2"/>
    <row r="7507" ht="12.75" customHeight="1" x14ac:dyDescent="0.2"/>
    <row r="7508" ht="12.75" customHeight="1" x14ac:dyDescent="0.2"/>
    <row r="7509" ht="12.75" customHeight="1" x14ac:dyDescent="0.2"/>
    <row r="7510" ht="12.75" customHeight="1" x14ac:dyDescent="0.2"/>
    <row r="7511" ht="12.75" customHeight="1" x14ac:dyDescent="0.2"/>
    <row r="7512" ht="12.75" customHeight="1" x14ac:dyDescent="0.2"/>
    <row r="7513" ht="12.75" customHeight="1" x14ac:dyDescent="0.2"/>
    <row r="7514" ht="12.75" customHeight="1" x14ac:dyDescent="0.2"/>
    <row r="7515" ht="12.75" customHeight="1" x14ac:dyDescent="0.2"/>
    <row r="7516" ht="12.75" customHeight="1" x14ac:dyDescent="0.2"/>
    <row r="7517" ht="12.75" customHeight="1" x14ac:dyDescent="0.2"/>
    <row r="7518" ht="12.75" customHeight="1" x14ac:dyDescent="0.2"/>
    <row r="7519" ht="12.75" customHeight="1" x14ac:dyDescent="0.2"/>
    <row r="7520" ht="12.75" customHeight="1" x14ac:dyDescent="0.2"/>
    <row r="7521" ht="12.75" customHeight="1" x14ac:dyDescent="0.2"/>
    <row r="7522" ht="12.75" customHeight="1" x14ac:dyDescent="0.2"/>
    <row r="7523" ht="12.75" customHeight="1" x14ac:dyDescent="0.2"/>
    <row r="7524" ht="12.75" customHeight="1" x14ac:dyDescent="0.2"/>
    <row r="7525" ht="12.75" customHeight="1" x14ac:dyDescent="0.2"/>
    <row r="7526" ht="12.75" customHeight="1" x14ac:dyDescent="0.2"/>
    <row r="7527" ht="12.75" customHeight="1" x14ac:dyDescent="0.2"/>
    <row r="7528" ht="12.75" customHeight="1" x14ac:dyDescent="0.2"/>
    <row r="7529" ht="12.75" customHeight="1" x14ac:dyDescent="0.2"/>
    <row r="7530" ht="12.75" customHeight="1" x14ac:dyDescent="0.2"/>
    <row r="7531" ht="12.75" customHeight="1" x14ac:dyDescent="0.2"/>
    <row r="7532" ht="12.75" customHeight="1" x14ac:dyDescent="0.2"/>
    <row r="7533" ht="12.75" customHeight="1" x14ac:dyDescent="0.2"/>
    <row r="7534" ht="12.75" customHeight="1" x14ac:dyDescent="0.2"/>
    <row r="7535" ht="12.75" customHeight="1" x14ac:dyDescent="0.2"/>
    <row r="7536" ht="12.75" customHeight="1" x14ac:dyDescent="0.2"/>
    <row r="7537" ht="12.75" customHeight="1" x14ac:dyDescent="0.2"/>
    <row r="7538" ht="12.75" customHeight="1" x14ac:dyDescent="0.2"/>
    <row r="7539" ht="12.75" customHeight="1" x14ac:dyDescent="0.2"/>
    <row r="7540" ht="12.75" customHeight="1" x14ac:dyDescent="0.2"/>
    <row r="7541" ht="12.75" customHeight="1" x14ac:dyDescent="0.2"/>
    <row r="7542" ht="12.75" customHeight="1" x14ac:dyDescent="0.2"/>
    <row r="7543" ht="12.75" customHeight="1" x14ac:dyDescent="0.2"/>
    <row r="7544" ht="12.75" customHeight="1" x14ac:dyDescent="0.2"/>
    <row r="7545" ht="12.75" customHeight="1" x14ac:dyDescent="0.2"/>
    <row r="7546" ht="12.75" customHeight="1" x14ac:dyDescent="0.2"/>
    <row r="7547" ht="12.75" customHeight="1" x14ac:dyDescent="0.2"/>
    <row r="7548" ht="12.75" customHeight="1" x14ac:dyDescent="0.2"/>
    <row r="7549" ht="12.75" customHeight="1" x14ac:dyDescent="0.2"/>
    <row r="7550" ht="12.75" customHeight="1" x14ac:dyDescent="0.2"/>
    <row r="7551" ht="12.75" customHeight="1" x14ac:dyDescent="0.2"/>
    <row r="7552" ht="12.75" customHeight="1" x14ac:dyDescent="0.2"/>
    <row r="7553" ht="12.75" customHeight="1" x14ac:dyDescent="0.2"/>
    <row r="7554" ht="12.75" customHeight="1" x14ac:dyDescent="0.2"/>
    <row r="7555" ht="12.75" customHeight="1" x14ac:dyDescent="0.2"/>
    <row r="7556" ht="12.75" customHeight="1" x14ac:dyDescent="0.2"/>
    <row r="7557" ht="12.75" customHeight="1" x14ac:dyDescent="0.2"/>
    <row r="7558" ht="12.75" customHeight="1" x14ac:dyDescent="0.2"/>
    <row r="7559" ht="12.75" customHeight="1" x14ac:dyDescent="0.2"/>
    <row r="7560" ht="12.75" customHeight="1" x14ac:dyDescent="0.2"/>
    <row r="7561" ht="12.75" customHeight="1" x14ac:dyDescent="0.2"/>
    <row r="7562" ht="12.75" customHeight="1" x14ac:dyDescent="0.2"/>
    <row r="7563" ht="12.75" customHeight="1" x14ac:dyDescent="0.2"/>
    <row r="7564" ht="12.75" customHeight="1" x14ac:dyDescent="0.2"/>
    <row r="7565" ht="12.75" customHeight="1" x14ac:dyDescent="0.2"/>
    <row r="7566" ht="12.75" customHeight="1" x14ac:dyDescent="0.2"/>
    <row r="7567" ht="12.75" customHeight="1" x14ac:dyDescent="0.2"/>
    <row r="7568" ht="12.75" customHeight="1" x14ac:dyDescent="0.2"/>
    <row r="7569" ht="12.75" customHeight="1" x14ac:dyDescent="0.2"/>
    <row r="7570" ht="12.75" customHeight="1" x14ac:dyDescent="0.2"/>
    <row r="7571" ht="12.75" customHeight="1" x14ac:dyDescent="0.2"/>
    <row r="7572" ht="12.75" customHeight="1" x14ac:dyDescent="0.2"/>
    <row r="7573" ht="12.75" customHeight="1" x14ac:dyDescent="0.2"/>
    <row r="7574" ht="12.75" customHeight="1" x14ac:dyDescent="0.2"/>
    <row r="7575" ht="12.75" customHeight="1" x14ac:dyDescent="0.2"/>
    <row r="7576" ht="12.75" customHeight="1" x14ac:dyDescent="0.2"/>
    <row r="7577" ht="12.75" customHeight="1" x14ac:dyDescent="0.2"/>
    <row r="7578" ht="12.75" customHeight="1" x14ac:dyDescent="0.2"/>
    <row r="7579" ht="12.75" customHeight="1" x14ac:dyDescent="0.2"/>
    <row r="7580" ht="12.75" customHeight="1" x14ac:dyDescent="0.2"/>
    <row r="7581" ht="12.75" customHeight="1" x14ac:dyDescent="0.2"/>
    <row r="7582" ht="12.75" customHeight="1" x14ac:dyDescent="0.2"/>
    <row r="7583" ht="12.75" customHeight="1" x14ac:dyDescent="0.2"/>
    <row r="7584" ht="12.75" customHeight="1" x14ac:dyDescent="0.2"/>
    <row r="7585" ht="12.75" customHeight="1" x14ac:dyDescent="0.2"/>
    <row r="7586" ht="12.75" customHeight="1" x14ac:dyDescent="0.2"/>
    <row r="7587" ht="12.75" customHeight="1" x14ac:dyDescent="0.2"/>
    <row r="7588" ht="12.75" customHeight="1" x14ac:dyDescent="0.2"/>
    <row r="7589" ht="12.75" customHeight="1" x14ac:dyDescent="0.2"/>
    <row r="7590" ht="12.75" customHeight="1" x14ac:dyDescent="0.2"/>
    <row r="7591" ht="12.75" customHeight="1" x14ac:dyDescent="0.2"/>
    <row r="7592" ht="12.75" customHeight="1" x14ac:dyDescent="0.2"/>
    <row r="7593" ht="12.75" customHeight="1" x14ac:dyDescent="0.2"/>
    <row r="7594" ht="12.75" customHeight="1" x14ac:dyDescent="0.2"/>
    <row r="7595" ht="12.75" customHeight="1" x14ac:dyDescent="0.2"/>
    <row r="7596" ht="12.75" customHeight="1" x14ac:dyDescent="0.2"/>
    <row r="7597" ht="12.75" customHeight="1" x14ac:dyDescent="0.2"/>
    <row r="7598" ht="12.75" customHeight="1" x14ac:dyDescent="0.2"/>
    <row r="7599" ht="12.75" customHeight="1" x14ac:dyDescent="0.2"/>
    <row r="7600" ht="12.75" customHeight="1" x14ac:dyDescent="0.2"/>
    <row r="7601" ht="12.75" customHeight="1" x14ac:dyDescent="0.2"/>
    <row r="7602" ht="12.75" customHeight="1" x14ac:dyDescent="0.2"/>
    <row r="7603" ht="12.75" customHeight="1" x14ac:dyDescent="0.2"/>
    <row r="7604" ht="12.75" customHeight="1" x14ac:dyDescent="0.2"/>
    <row r="7605" ht="12.75" customHeight="1" x14ac:dyDescent="0.2"/>
    <row r="7606" ht="12.75" customHeight="1" x14ac:dyDescent="0.2"/>
    <row r="7607" ht="12.75" customHeight="1" x14ac:dyDescent="0.2"/>
    <row r="7608" ht="12.75" customHeight="1" x14ac:dyDescent="0.2"/>
    <row r="7609" ht="12.75" customHeight="1" x14ac:dyDescent="0.2"/>
    <row r="7610" ht="12.75" customHeight="1" x14ac:dyDescent="0.2"/>
    <row r="7611" ht="12.75" customHeight="1" x14ac:dyDescent="0.2"/>
    <row r="7612" ht="12.75" customHeight="1" x14ac:dyDescent="0.2"/>
    <row r="7613" ht="12.75" customHeight="1" x14ac:dyDescent="0.2"/>
    <row r="7614" ht="12.75" customHeight="1" x14ac:dyDescent="0.2"/>
    <row r="7615" ht="12.75" customHeight="1" x14ac:dyDescent="0.2"/>
    <row r="7616" ht="12.75" customHeight="1" x14ac:dyDescent="0.2"/>
    <row r="7617" ht="12.75" customHeight="1" x14ac:dyDescent="0.2"/>
    <row r="7618" ht="12.75" customHeight="1" x14ac:dyDescent="0.2"/>
    <row r="7619" ht="12.75" customHeight="1" x14ac:dyDescent="0.2"/>
    <row r="7620" ht="12.75" customHeight="1" x14ac:dyDescent="0.2"/>
    <row r="7621" ht="12.75" customHeight="1" x14ac:dyDescent="0.2"/>
    <row r="7622" ht="12.75" customHeight="1" x14ac:dyDescent="0.2"/>
    <row r="7623" ht="12.75" customHeight="1" x14ac:dyDescent="0.2"/>
    <row r="7624" ht="12.75" customHeight="1" x14ac:dyDescent="0.2"/>
    <row r="7625" ht="12.75" customHeight="1" x14ac:dyDescent="0.2"/>
    <row r="7626" ht="12.75" customHeight="1" x14ac:dyDescent="0.2"/>
    <row r="7627" ht="12.75" customHeight="1" x14ac:dyDescent="0.2"/>
    <row r="7628" ht="12.75" customHeight="1" x14ac:dyDescent="0.2"/>
    <row r="7629" ht="12.75" customHeight="1" x14ac:dyDescent="0.2"/>
    <row r="7630" ht="12.75" customHeight="1" x14ac:dyDescent="0.2"/>
    <row r="7631" ht="12.75" customHeight="1" x14ac:dyDescent="0.2"/>
    <row r="7632" ht="12.75" customHeight="1" x14ac:dyDescent="0.2"/>
    <row r="7633" ht="12.75" customHeight="1" x14ac:dyDescent="0.2"/>
    <row r="7634" ht="12.75" customHeight="1" x14ac:dyDescent="0.2"/>
    <row r="7635" ht="12.75" customHeight="1" x14ac:dyDescent="0.2"/>
    <row r="7636" ht="12.75" customHeight="1" x14ac:dyDescent="0.2"/>
    <row r="7637" ht="12.75" customHeight="1" x14ac:dyDescent="0.2"/>
    <row r="7638" ht="12.75" customHeight="1" x14ac:dyDescent="0.2"/>
    <row r="7639" ht="12.75" customHeight="1" x14ac:dyDescent="0.2"/>
    <row r="7640" ht="12.75" customHeight="1" x14ac:dyDescent="0.2"/>
    <row r="7641" ht="12.75" customHeight="1" x14ac:dyDescent="0.2"/>
    <row r="7642" ht="12.75" customHeight="1" x14ac:dyDescent="0.2"/>
    <row r="7643" ht="12.75" customHeight="1" x14ac:dyDescent="0.2"/>
    <row r="7644" ht="12.75" customHeight="1" x14ac:dyDescent="0.2"/>
    <row r="7645" ht="12.75" customHeight="1" x14ac:dyDescent="0.2"/>
    <row r="7646" ht="12.75" customHeight="1" x14ac:dyDescent="0.2"/>
    <row r="7647" ht="12.75" customHeight="1" x14ac:dyDescent="0.2"/>
    <row r="7648" ht="12.75" customHeight="1" x14ac:dyDescent="0.2"/>
    <row r="7649" ht="12.75" customHeight="1" x14ac:dyDescent="0.2"/>
    <row r="7650" ht="12.75" customHeight="1" x14ac:dyDescent="0.2"/>
    <row r="7651" ht="12.75" customHeight="1" x14ac:dyDescent="0.2"/>
    <row r="7652" ht="12.75" customHeight="1" x14ac:dyDescent="0.2"/>
    <row r="7653" ht="12.75" customHeight="1" x14ac:dyDescent="0.2"/>
    <row r="7654" ht="12.75" customHeight="1" x14ac:dyDescent="0.2"/>
    <row r="7655" ht="12.75" customHeight="1" x14ac:dyDescent="0.2"/>
    <row r="7656" ht="12.75" customHeight="1" x14ac:dyDescent="0.2"/>
    <row r="7657" ht="12.75" customHeight="1" x14ac:dyDescent="0.2"/>
    <row r="7658" ht="12.75" customHeight="1" x14ac:dyDescent="0.2"/>
    <row r="7659" ht="12.75" customHeight="1" x14ac:dyDescent="0.2"/>
    <row r="7660" ht="12.75" customHeight="1" x14ac:dyDescent="0.2"/>
    <row r="7661" ht="12.75" customHeight="1" x14ac:dyDescent="0.2"/>
    <row r="7662" ht="12.75" customHeight="1" x14ac:dyDescent="0.2"/>
    <row r="7663" ht="12.75" customHeight="1" x14ac:dyDescent="0.2"/>
    <row r="7664" ht="12.75" customHeight="1" x14ac:dyDescent="0.2"/>
    <row r="7665" ht="12.75" customHeight="1" x14ac:dyDescent="0.2"/>
    <row r="7666" ht="12.75" customHeight="1" x14ac:dyDescent="0.2"/>
    <row r="7667" ht="12.75" customHeight="1" x14ac:dyDescent="0.2"/>
    <row r="7668" ht="12.75" customHeight="1" x14ac:dyDescent="0.2"/>
    <row r="7669" ht="12.75" customHeight="1" x14ac:dyDescent="0.2"/>
    <row r="7670" ht="12.75" customHeight="1" x14ac:dyDescent="0.2"/>
    <row r="7671" ht="12.75" customHeight="1" x14ac:dyDescent="0.2"/>
    <row r="7672" ht="12.75" customHeight="1" x14ac:dyDescent="0.2"/>
    <row r="7673" ht="12.75" customHeight="1" x14ac:dyDescent="0.2"/>
    <row r="7674" ht="12.75" customHeight="1" x14ac:dyDescent="0.2"/>
    <row r="7675" ht="12.75" customHeight="1" x14ac:dyDescent="0.2"/>
    <row r="7676" ht="12.75" customHeight="1" x14ac:dyDescent="0.2"/>
    <row r="7677" ht="12.75" customHeight="1" x14ac:dyDescent="0.2"/>
    <row r="7678" ht="12.75" customHeight="1" x14ac:dyDescent="0.2"/>
    <row r="7679" ht="12.75" customHeight="1" x14ac:dyDescent="0.2"/>
    <row r="7680" ht="12.75" customHeight="1" x14ac:dyDescent="0.2"/>
    <row r="7681" ht="12.75" customHeight="1" x14ac:dyDescent="0.2"/>
    <row r="7682" ht="12.75" customHeight="1" x14ac:dyDescent="0.2"/>
    <row r="7683" ht="12.75" customHeight="1" x14ac:dyDescent="0.2"/>
    <row r="7684" ht="12.75" customHeight="1" x14ac:dyDescent="0.2"/>
    <row r="7685" ht="12.75" customHeight="1" x14ac:dyDescent="0.2"/>
    <row r="7686" ht="12.75" customHeight="1" x14ac:dyDescent="0.2"/>
    <row r="7687" ht="12.75" customHeight="1" x14ac:dyDescent="0.2"/>
    <row r="7688" ht="12.75" customHeight="1" x14ac:dyDescent="0.2"/>
    <row r="7689" ht="12.75" customHeight="1" x14ac:dyDescent="0.2"/>
    <row r="7690" ht="12.75" customHeight="1" x14ac:dyDescent="0.2"/>
    <row r="7691" ht="12.75" customHeight="1" x14ac:dyDescent="0.2"/>
    <row r="7692" ht="12.75" customHeight="1" x14ac:dyDescent="0.2"/>
    <row r="7693" ht="12.75" customHeight="1" x14ac:dyDescent="0.2"/>
    <row r="7694" ht="12.75" customHeight="1" x14ac:dyDescent="0.2"/>
    <row r="7695" ht="12.75" customHeight="1" x14ac:dyDescent="0.2"/>
    <row r="7696" ht="12.75" customHeight="1" x14ac:dyDescent="0.2"/>
    <row r="7697" ht="12.75" customHeight="1" x14ac:dyDescent="0.2"/>
    <row r="7698" ht="12.75" customHeight="1" x14ac:dyDescent="0.2"/>
    <row r="7699" ht="12.75" customHeight="1" x14ac:dyDescent="0.2"/>
    <row r="7700" ht="12.75" customHeight="1" x14ac:dyDescent="0.2"/>
    <row r="7701" ht="12.75" customHeight="1" x14ac:dyDescent="0.2"/>
    <row r="7702" ht="12.75" customHeight="1" x14ac:dyDescent="0.2"/>
    <row r="7703" ht="12.75" customHeight="1" x14ac:dyDescent="0.2"/>
    <row r="7704" ht="12.75" customHeight="1" x14ac:dyDescent="0.2"/>
    <row r="7705" ht="12.75" customHeight="1" x14ac:dyDescent="0.2"/>
    <row r="7706" ht="12.75" customHeight="1" x14ac:dyDescent="0.2"/>
    <row r="7707" ht="12.75" customHeight="1" x14ac:dyDescent="0.2"/>
    <row r="7708" ht="12.75" customHeight="1" x14ac:dyDescent="0.2"/>
    <row r="7709" ht="12.75" customHeight="1" x14ac:dyDescent="0.2"/>
    <row r="7710" ht="12.75" customHeight="1" x14ac:dyDescent="0.2"/>
    <row r="7711" ht="12.75" customHeight="1" x14ac:dyDescent="0.2"/>
    <row r="7712" ht="12.75" customHeight="1" x14ac:dyDescent="0.2"/>
    <row r="7713" ht="12.75" customHeight="1" x14ac:dyDescent="0.2"/>
    <row r="7714" ht="12.75" customHeight="1" x14ac:dyDescent="0.2"/>
    <row r="7715" ht="12.75" customHeight="1" x14ac:dyDescent="0.2"/>
    <row r="7716" ht="12.75" customHeight="1" x14ac:dyDescent="0.2"/>
    <row r="7717" ht="12.75" customHeight="1" x14ac:dyDescent="0.2"/>
    <row r="7718" ht="12.75" customHeight="1" x14ac:dyDescent="0.2"/>
    <row r="7719" ht="12.75" customHeight="1" x14ac:dyDescent="0.2"/>
    <row r="7720" ht="12.75" customHeight="1" x14ac:dyDescent="0.2"/>
    <row r="7721" ht="12.75" customHeight="1" x14ac:dyDescent="0.2"/>
    <row r="7722" ht="12.75" customHeight="1" x14ac:dyDescent="0.2"/>
    <row r="7723" ht="12.75" customHeight="1" x14ac:dyDescent="0.2"/>
    <row r="7724" ht="12.75" customHeight="1" x14ac:dyDescent="0.2"/>
    <row r="7725" ht="12.75" customHeight="1" x14ac:dyDescent="0.2"/>
    <row r="7726" ht="12.75" customHeight="1" x14ac:dyDescent="0.2"/>
    <row r="7727" ht="12.75" customHeight="1" x14ac:dyDescent="0.2"/>
    <row r="7728" ht="12.75" customHeight="1" x14ac:dyDescent="0.2"/>
    <row r="7729" ht="12.75" customHeight="1" x14ac:dyDescent="0.2"/>
    <row r="7730" ht="12.75" customHeight="1" x14ac:dyDescent="0.2"/>
    <row r="7731" ht="12.75" customHeight="1" x14ac:dyDescent="0.2"/>
    <row r="7732" ht="12.75" customHeight="1" x14ac:dyDescent="0.2"/>
    <row r="7733" ht="12.75" customHeight="1" x14ac:dyDescent="0.2"/>
    <row r="7734" ht="12.75" customHeight="1" x14ac:dyDescent="0.2"/>
    <row r="7735" ht="12.75" customHeight="1" x14ac:dyDescent="0.2"/>
    <row r="7736" ht="12.75" customHeight="1" x14ac:dyDescent="0.2"/>
    <row r="7737" ht="12.75" customHeight="1" x14ac:dyDescent="0.2"/>
    <row r="7738" ht="12.75" customHeight="1" x14ac:dyDescent="0.2"/>
    <row r="7739" ht="12.75" customHeight="1" x14ac:dyDescent="0.2"/>
    <row r="7740" ht="12.75" customHeight="1" x14ac:dyDescent="0.2"/>
    <row r="7741" ht="12.75" customHeight="1" x14ac:dyDescent="0.2"/>
    <row r="7742" ht="12.75" customHeight="1" x14ac:dyDescent="0.2"/>
    <row r="7743" ht="12.75" customHeight="1" x14ac:dyDescent="0.2"/>
    <row r="7744" ht="12.75" customHeight="1" x14ac:dyDescent="0.2"/>
    <row r="7745" ht="12.75" customHeight="1" x14ac:dyDescent="0.2"/>
    <row r="7746" ht="12.75" customHeight="1" x14ac:dyDescent="0.2"/>
    <row r="7747" ht="12.75" customHeight="1" x14ac:dyDescent="0.2"/>
    <row r="7748" ht="12.75" customHeight="1" x14ac:dyDescent="0.2"/>
    <row r="7749" ht="12.75" customHeight="1" x14ac:dyDescent="0.2"/>
    <row r="7750" ht="12.75" customHeight="1" x14ac:dyDescent="0.2"/>
    <row r="7751" ht="12.75" customHeight="1" x14ac:dyDescent="0.2"/>
    <row r="7752" ht="12.75" customHeight="1" x14ac:dyDescent="0.2"/>
    <row r="7753" ht="12.75" customHeight="1" x14ac:dyDescent="0.2"/>
    <row r="7754" ht="12.75" customHeight="1" x14ac:dyDescent="0.2"/>
    <row r="7755" ht="12.75" customHeight="1" x14ac:dyDescent="0.2"/>
    <row r="7756" ht="12.75" customHeight="1" x14ac:dyDescent="0.2"/>
    <row r="7757" ht="12.75" customHeight="1" x14ac:dyDescent="0.2"/>
    <row r="7758" ht="12.75" customHeight="1" x14ac:dyDescent="0.2"/>
    <row r="7759" ht="12.75" customHeight="1" x14ac:dyDescent="0.2"/>
    <row r="7760" ht="12.75" customHeight="1" x14ac:dyDescent="0.2"/>
    <row r="7761" ht="12.75" customHeight="1" x14ac:dyDescent="0.2"/>
    <row r="7762" ht="12.75" customHeight="1" x14ac:dyDescent="0.2"/>
    <row r="7763" ht="12.75" customHeight="1" x14ac:dyDescent="0.2"/>
    <row r="7764" ht="12.75" customHeight="1" x14ac:dyDescent="0.2"/>
    <row r="7765" ht="12.75" customHeight="1" x14ac:dyDescent="0.2"/>
    <row r="7766" ht="12.75" customHeight="1" x14ac:dyDescent="0.2"/>
    <row r="7767" ht="12.75" customHeight="1" x14ac:dyDescent="0.2"/>
    <row r="7768" ht="12.75" customHeight="1" x14ac:dyDescent="0.2"/>
    <row r="7769" ht="12.75" customHeight="1" x14ac:dyDescent="0.2"/>
    <row r="7770" ht="12.75" customHeight="1" x14ac:dyDescent="0.2"/>
    <row r="7771" ht="12.75" customHeight="1" x14ac:dyDescent="0.2"/>
    <row r="7772" ht="12.75" customHeight="1" x14ac:dyDescent="0.2"/>
    <row r="7773" ht="12.75" customHeight="1" x14ac:dyDescent="0.2"/>
    <row r="7774" ht="12.75" customHeight="1" x14ac:dyDescent="0.2"/>
    <row r="7775" ht="12.75" customHeight="1" x14ac:dyDescent="0.2"/>
    <row r="7776" ht="12.75" customHeight="1" x14ac:dyDescent="0.2"/>
    <row r="7777" ht="12.75" customHeight="1" x14ac:dyDescent="0.2"/>
    <row r="7778" ht="12.75" customHeight="1" x14ac:dyDescent="0.2"/>
    <row r="7779" ht="12.75" customHeight="1" x14ac:dyDescent="0.2"/>
    <row r="7780" ht="12.75" customHeight="1" x14ac:dyDescent="0.2"/>
    <row r="7781" ht="12.75" customHeight="1" x14ac:dyDescent="0.2"/>
    <row r="7782" ht="12.75" customHeight="1" x14ac:dyDescent="0.2"/>
    <row r="7783" ht="12.75" customHeight="1" x14ac:dyDescent="0.2"/>
    <row r="7784" ht="12.75" customHeight="1" x14ac:dyDescent="0.2"/>
    <row r="7785" ht="12.75" customHeight="1" x14ac:dyDescent="0.2"/>
    <row r="7786" ht="12.75" customHeight="1" x14ac:dyDescent="0.2"/>
    <row r="7787" ht="12.75" customHeight="1" x14ac:dyDescent="0.2"/>
    <row r="7788" ht="12.75" customHeight="1" x14ac:dyDescent="0.2"/>
    <row r="7789" ht="12.75" customHeight="1" x14ac:dyDescent="0.2"/>
    <row r="7790" ht="12.75" customHeight="1" x14ac:dyDescent="0.2"/>
    <row r="7791" ht="12.75" customHeight="1" x14ac:dyDescent="0.2"/>
    <row r="7792" ht="12.75" customHeight="1" x14ac:dyDescent="0.2"/>
    <row r="7793" ht="12.75" customHeight="1" x14ac:dyDescent="0.2"/>
    <row r="7794" ht="12.75" customHeight="1" x14ac:dyDescent="0.2"/>
    <row r="7795" ht="12.75" customHeight="1" x14ac:dyDescent="0.2"/>
    <row r="7796" ht="12.75" customHeight="1" x14ac:dyDescent="0.2"/>
    <row r="7797" ht="12.75" customHeight="1" x14ac:dyDescent="0.2"/>
    <row r="7798" ht="12.75" customHeight="1" x14ac:dyDescent="0.2"/>
    <row r="7799" ht="12.75" customHeight="1" x14ac:dyDescent="0.2"/>
    <row r="7800" ht="12.75" customHeight="1" x14ac:dyDescent="0.2"/>
    <row r="7801" ht="12.75" customHeight="1" x14ac:dyDescent="0.2"/>
    <row r="7802" ht="12.75" customHeight="1" x14ac:dyDescent="0.2"/>
    <row r="7803" ht="12.75" customHeight="1" x14ac:dyDescent="0.2"/>
    <row r="7804" ht="12.75" customHeight="1" x14ac:dyDescent="0.2"/>
    <row r="7805" ht="12.75" customHeight="1" x14ac:dyDescent="0.2"/>
    <row r="7806" ht="12.75" customHeight="1" x14ac:dyDescent="0.2"/>
    <row r="7807" ht="12.75" customHeight="1" x14ac:dyDescent="0.2"/>
    <row r="7808" ht="12.75" customHeight="1" x14ac:dyDescent="0.2"/>
    <row r="7809" ht="12.75" customHeight="1" x14ac:dyDescent="0.2"/>
    <row r="7810" ht="12.75" customHeight="1" x14ac:dyDescent="0.2"/>
    <row r="7811" ht="12.75" customHeight="1" x14ac:dyDescent="0.2"/>
    <row r="7812" ht="12.75" customHeight="1" x14ac:dyDescent="0.2"/>
    <row r="7813" ht="12.75" customHeight="1" x14ac:dyDescent="0.2"/>
    <row r="7814" ht="12.75" customHeight="1" x14ac:dyDescent="0.2"/>
    <row r="7815" ht="12.75" customHeight="1" x14ac:dyDescent="0.2"/>
    <row r="7816" ht="12.75" customHeight="1" x14ac:dyDescent="0.2"/>
    <row r="7817" ht="12.75" customHeight="1" x14ac:dyDescent="0.2"/>
    <row r="7818" ht="12.75" customHeight="1" x14ac:dyDescent="0.2"/>
    <row r="7819" ht="12.75" customHeight="1" x14ac:dyDescent="0.2"/>
    <row r="7820" ht="12.75" customHeight="1" x14ac:dyDescent="0.2"/>
    <row r="7821" ht="12.75" customHeight="1" x14ac:dyDescent="0.2"/>
    <row r="7822" ht="12.75" customHeight="1" x14ac:dyDescent="0.2"/>
    <row r="7823" ht="12.75" customHeight="1" x14ac:dyDescent="0.2"/>
    <row r="7824" ht="12.75" customHeight="1" x14ac:dyDescent="0.2"/>
    <row r="7825" ht="12.75" customHeight="1" x14ac:dyDescent="0.2"/>
    <row r="7826" ht="12.75" customHeight="1" x14ac:dyDescent="0.2"/>
    <row r="7827" ht="12.75" customHeight="1" x14ac:dyDescent="0.2"/>
    <row r="7828" ht="12.75" customHeight="1" x14ac:dyDescent="0.2"/>
    <row r="7829" ht="12.75" customHeight="1" x14ac:dyDescent="0.2"/>
    <row r="7830" ht="12.75" customHeight="1" x14ac:dyDescent="0.2"/>
    <row r="7831" ht="12.75" customHeight="1" x14ac:dyDescent="0.2"/>
    <row r="7832" ht="12.75" customHeight="1" x14ac:dyDescent="0.2"/>
    <row r="7833" ht="12.75" customHeight="1" x14ac:dyDescent="0.2"/>
    <row r="7834" ht="12.75" customHeight="1" x14ac:dyDescent="0.2"/>
    <row r="7835" ht="12.75" customHeight="1" x14ac:dyDescent="0.2"/>
    <row r="7836" ht="12.75" customHeight="1" x14ac:dyDescent="0.2"/>
    <row r="7837" ht="12.75" customHeight="1" x14ac:dyDescent="0.2"/>
    <row r="7838" ht="12.75" customHeight="1" x14ac:dyDescent="0.2"/>
    <row r="7839" ht="12.75" customHeight="1" x14ac:dyDescent="0.2"/>
    <row r="7840" ht="12.75" customHeight="1" x14ac:dyDescent="0.2"/>
    <row r="7841" ht="12.75" customHeight="1" x14ac:dyDescent="0.2"/>
    <row r="7842" ht="12.75" customHeight="1" x14ac:dyDescent="0.2"/>
    <row r="7843" ht="12.75" customHeight="1" x14ac:dyDescent="0.2"/>
    <row r="7844" ht="12.75" customHeight="1" x14ac:dyDescent="0.2"/>
    <row r="7845" ht="12.75" customHeight="1" x14ac:dyDescent="0.2"/>
    <row r="7846" ht="12.75" customHeight="1" x14ac:dyDescent="0.2"/>
    <row r="7847" ht="12.75" customHeight="1" x14ac:dyDescent="0.2"/>
    <row r="7848" ht="12.75" customHeight="1" x14ac:dyDescent="0.2"/>
    <row r="7849" ht="12.75" customHeight="1" x14ac:dyDescent="0.2"/>
    <row r="7850" ht="12.75" customHeight="1" x14ac:dyDescent="0.2"/>
    <row r="7851" ht="12.75" customHeight="1" x14ac:dyDescent="0.2"/>
    <row r="7852" ht="12.75" customHeight="1" x14ac:dyDescent="0.2"/>
    <row r="7853" ht="12.75" customHeight="1" x14ac:dyDescent="0.2"/>
    <row r="7854" ht="12.75" customHeight="1" x14ac:dyDescent="0.2"/>
    <row r="7855" ht="12.75" customHeight="1" x14ac:dyDescent="0.2"/>
    <row r="7856" ht="12.75" customHeight="1" x14ac:dyDescent="0.2"/>
    <row r="7857" ht="12.75" customHeight="1" x14ac:dyDescent="0.2"/>
    <row r="7858" ht="12.75" customHeight="1" x14ac:dyDescent="0.2"/>
    <row r="7859" ht="12.75" customHeight="1" x14ac:dyDescent="0.2"/>
    <row r="7860" ht="12.75" customHeight="1" x14ac:dyDescent="0.2"/>
    <row r="7861" ht="12.75" customHeight="1" x14ac:dyDescent="0.2"/>
    <row r="7862" ht="12.75" customHeight="1" x14ac:dyDescent="0.2"/>
    <row r="7863" ht="12.75" customHeight="1" x14ac:dyDescent="0.2"/>
    <row r="7864" ht="12.75" customHeight="1" x14ac:dyDescent="0.2"/>
    <row r="7865" ht="12.75" customHeight="1" x14ac:dyDescent="0.2"/>
    <row r="7866" ht="12.75" customHeight="1" x14ac:dyDescent="0.2"/>
    <row r="7867" ht="12.75" customHeight="1" x14ac:dyDescent="0.2"/>
    <row r="7868" ht="12.75" customHeight="1" x14ac:dyDescent="0.2"/>
    <row r="7869" ht="12.75" customHeight="1" x14ac:dyDescent="0.2"/>
    <row r="7870" ht="12.75" customHeight="1" x14ac:dyDescent="0.2"/>
    <row r="7871" ht="12.75" customHeight="1" x14ac:dyDescent="0.2"/>
    <row r="7872" ht="12.75" customHeight="1" x14ac:dyDescent="0.2"/>
    <row r="7873" ht="12.75" customHeight="1" x14ac:dyDescent="0.2"/>
    <row r="7874" ht="12.75" customHeight="1" x14ac:dyDescent="0.2"/>
    <row r="7875" ht="12.75" customHeight="1" x14ac:dyDescent="0.2"/>
    <row r="7876" ht="12.75" customHeight="1" x14ac:dyDescent="0.2"/>
    <row r="7877" ht="12.75" customHeight="1" x14ac:dyDescent="0.2"/>
    <row r="7878" ht="12.75" customHeight="1" x14ac:dyDescent="0.2"/>
    <row r="7879" ht="12.75" customHeight="1" x14ac:dyDescent="0.2"/>
    <row r="7880" ht="12.75" customHeight="1" x14ac:dyDescent="0.2"/>
    <row r="7881" ht="12.75" customHeight="1" x14ac:dyDescent="0.2"/>
    <row r="7882" ht="12.75" customHeight="1" x14ac:dyDescent="0.2"/>
    <row r="7883" ht="12.75" customHeight="1" x14ac:dyDescent="0.2"/>
    <row r="7884" ht="12.75" customHeight="1" x14ac:dyDescent="0.2"/>
    <row r="7885" ht="12.75" customHeight="1" x14ac:dyDescent="0.2"/>
    <row r="7886" ht="12.75" customHeight="1" x14ac:dyDescent="0.2"/>
    <row r="7887" ht="12.75" customHeight="1" x14ac:dyDescent="0.2"/>
    <row r="7888" ht="12.75" customHeight="1" x14ac:dyDescent="0.2"/>
    <row r="7889" ht="12.75" customHeight="1" x14ac:dyDescent="0.2"/>
    <row r="7890" ht="12.75" customHeight="1" x14ac:dyDescent="0.2"/>
    <row r="7891" ht="12.75" customHeight="1" x14ac:dyDescent="0.2"/>
    <row r="7892" ht="12.75" customHeight="1" x14ac:dyDescent="0.2"/>
    <row r="7893" ht="12.75" customHeight="1" x14ac:dyDescent="0.2"/>
    <row r="7894" ht="12.75" customHeight="1" x14ac:dyDescent="0.2"/>
    <row r="7895" ht="12.75" customHeight="1" x14ac:dyDescent="0.2"/>
    <row r="7896" ht="12.75" customHeight="1" x14ac:dyDescent="0.2"/>
    <row r="7897" ht="12.75" customHeight="1" x14ac:dyDescent="0.2"/>
    <row r="7898" ht="12.75" customHeight="1" x14ac:dyDescent="0.2"/>
    <row r="7899" ht="12.75" customHeight="1" x14ac:dyDescent="0.2"/>
    <row r="7900" ht="12.75" customHeight="1" x14ac:dyDescent="0.2"/>
    <row r="7901" ht="12.75" customHeight="1" x14ac:dyDescent="0.2"/>
    <row r="7902" ht="12.75" customHeight="1" x14ac:dyDescent="0.2"/>
    <row r="7903" ht="12.75" customHeight="1" x14ac:dyDescent="0.2"/>
    <row r="7904" ht="12.75" customHeight="1" x14ac:dyDescent="0.2"/>
    <row r="7905" ht="12.75" customHeight="1" x14ac:dyDescent="0.2"/>
    <row r="7906" ht="12.75" customHeight="1" x14ac:dyDescent="0.2"/>
    <row r="7907" ht="12.75" customHeight="1" x14ac:dyDescent="0.2"/>
    <row r="7908" ht="12.75" customHeight="1" x14ac:dyDescent="0.2"/>
    <row r="7909" ht="12.75" customHeight="1" x14ac:dyDescent="0.2"/>
    <row r="7910" ht="12.75" customHeight="1" x14ac:dyDescent="0.2"/>
    <row r="7911" ht="12.75" customHeight="1" x14ac:dyDescent="0.2"/>
    <row r="7912" ht="12.75" customHeight="1" x14ac:dyDescent="0.2"/>
    <row r="7913" ht="12.75" customHeight="1" x14ac:dyDescent="0.2"/>
    <row r="7914" ht="12.75" customHeight="1" x14ac:dyDescent="0.2"/>
    <row r="7915" ht="12.75" customHeight="1" x14ac:dyDescent="0.2"/>
    <row r="7916" ht="12.75" customHeight="1" x14ac:dyDescent="0.2"/>
    <row r="7917" ht="12.75" customHeight="1" x14ac:dyDescent="0.2"/>
    <row r="7918" ht="12.75" customHeight="1" x14ac:dyDescent="0.2"/>
    <row r="7919" ht="12.75" customHeight="1" x14ac:dyDescent="0.2"/>
    <row r="7920" ht="12.75" customHeight="1" x14ac:dyDescent="0.2"/>
    <row r="7921" ht="12.75" customHeight="1" x14ac:dyDescent="0.2"/>
    <row r="7922" ht="12.75" customHeight="1" x14ac:dyDescent="0.2"/>
    <row r="7923" ht="12.75" customHeight="1" x14ac:dyDescent="0.2"/>
    <row r="7924" ht="12.75" customHeight="1" x14ac:dyDescent="0.2"/>
    <row r="7925" ht="12.75" customHeight="1" x14ac:dyDescent="0.2"/>
    <row r="7926" ht="12.75" customHeight="1" x14ac:dyDescent="0.2"/>
    <row r="7927" ht="12.75" customHeight="1" x14ac:dyDescent="0.2"/>
    <row r="7928" ht="12.75" customHeight="1" x14ac:dyDescent="0.2"/>
    <row r="7929" ht="12.75" customHeight="1" x14ac:dyDescent="0.2"/>
    <row r="7930" ht="12.75" customHeight="1" x14ac:dyDescent="0.2"/>
    <row r="7931" ht="12.75" customHeight="1" x14ac:dyDescent="0.2"/>
    <row r="7932" ht="12.75" customHeight="1" x14ac:dyDescent="0.2"/>
    <row r="7933" ht="12.75" customHeight="1" x14ac:dyDescent="0.2"/>
    <row r="7934" ht="12.75" customHeight="1" x14ac:dyDescent="0.2"/>
    <row r="7935" ht="12.75" customHeight="1" x14ac:dyDescent="0.2"/>
    <row r="7936" ht="12.75" customHeight="1" x14ac:dyDescent="0.2"/>
    <row r="7937" ht="12.75" customHeight="1" x14ac:dyDescent="0.2"/>
    <row r="7938" ht="12.75" customHeight="1" x14ac:dyDescent="0.2"/>
    <row r="7939" ht="12.75" customHeight="1" x14ac:dyDescent="0.2"/>
    <row r="7940" ht="12.75" customHeight="1" x14ac:dyDescent="0.2"/>
    <row r="7941" ht="12.75" customHeight="1" x14ac:dyDescent="0.2"/>
  </sheetData>
  <conditionalFormatting sqref="D5:D46">
    <cfRule type="expression" dxfId="15" priority="8" stopIfTrue="1">
      <formula>#REF!="Not Suppressed"</formula>
    </cfRule>
  </conditionalFormatting>
  <conditionalFormatting sqref="I5:I45">
    <cfRule type="expression" dxfId="14" priority="4" stopIfTrue="1">
      <formula>#REF!="Not Suppressed"</formula>
    </cfRule>
  </conditionalFormatting>
  <conditionalFormatting sqref="I4">
    <cfRule type="expression" dxfId="13" priority="3" stopIfTrue="1">
      <formula>#REF!="Not Suppressed"</formula>
    </cfRule>
  </conditionalFormatting>
  <conditionalFormatting sqref="I6:I46">
    <cfRule type="expression" dxfId="12" priority="2" stopIfTrue="1">
      <formula>#REF!="Not Suppressed"</formula>
    </cfRule>
  </conditionalFormatting>
  <conditionalFormatting sqref="I5">
    <cfRule type="expression" dxfId="11" priority="1" stopIfTrue="1">
      <formula>#REF!="Not Suppressed"</formula>
    </cfRule>
  </conditionalFormatting>
  <pageMargins left="0.75" right="0.75" top="1" bottom="1" header="0.5" footer="0.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P54"/>
  <sheetViews>
    <sheetView workbookViewId="0">
      <selection activeCell="A4" sqref="A4"/>
    </sheetView>
  </sheetViews>
  <sheetFormatPr defaultRowHeight="18.75" x14ac:dyDescent="0.3"/>
  <cols>
    <col min="1" max="1" width="45.3984375" customWidth="1"/>
    <col min="2" max="2" width="58.19921875" customWidth="1"/>
    <col min="3" max="3" width="49.09765625" customWidth="1"/>
    <col min="4" max="4" width="37.19921875" customWidth="1"/>
    <col min="5" max="5" width="44.796875" customWidth="1"/>
    <col min="6" max="6" width="38.09765625" customWidth="1"/>
    <col min="7" max="7" width="42" customWidth="1"/>
    <col min="8" max="8" width="44.59765625" customWidth="1"/>
    <col min="9" max="9" width="12.296875" customWidth="1"/>
    <col min="10" max="10" width="16.8984375" customWidth="1"/>
    <col min="11" max="11" width="32.69921875" customWidth="1"/>
    <col min="12" max="12" width="28.796875" customWidth="1"/>
    <col min="13" max="13" width="32.69921875" customWidth="1"/>
    <col min="14" max="14" width="36.296875" customWidth="1"/>
    <col min="15" max="15" width="35.5" customWidth="1"/>
    <col min="16" max="16" width="39.3984375" bestFit="1" customWidth="1"/>
  </cols>
  <sheetData>
    <row r="1" spans="1:15" x14ac:dyDescent="0.3">
      <c r="A1" t="s">
        <v>192</v>
      </c>
    </row>
    <row r="2" spans="1:15" x14ac:dyDescent="0.3">
      <c r="A2" s="168" t="s">
        <v>189</v>
      </c>
    </row>
    <row r="3" spans="1:15" s="2" customFormat="1" x14ac:dyDescent="0.3">
      <c r="A3" t="s">
        <v>247</v>
      </c>
      <c r="B3" t="s">
        <v>248</v>
      </c>
      <c r="C3" t="s">
        <v>251</v>
      </c>
      <c r="D3" t="s">
        <v>250</v>
      </c>
      <c r="E3" t="s">
        <v>249</v>
      </c>
      <c r="F3" t="s">
        <v>254</v>
      </c>
      <c r="G3" t="s">
        <v>253</v>
      </c>
      <c r="H3" t="s">
        <v>252</v>
      </c>
    </row>
    <row r="4" spans="1:15" x14ac:dyDescent="0.3">
      <c r="A4" s="169">
        <v>183307</v>
      </c>
      <c r="B4" s="169">
        <v>64014</v>
      </c>
      <c r="C4" s="169">
        <v>116671</v>
      </c>
      <c r="D4" s="169">
        <v>102821</v>
      </c>
      <c r="E4" s="169">
        <v>10921</v>
      </c>
      <c r="F4" s="169">
        <v>2932</v>
      </c>
      <c r="G4" s="169">
        <v>8120</v>
      </c>
      <c r="H4" s="169">
        <v>2471</v>
      </c>
      <c r="I4" s="169"/>
    </row>
    <row r="5" spans="1:15" x14ac:dyDescent="0.3">
      <c r="A5" s="169" t="s">
        <v>98</v>
      </c>
      <c r="G5" t="s">
        <v>193</v>
      </c>
    </row>
    <row r="6" spans="1:15" x14ac:dyDescent="0.3">
      <c r="A6" s="168" t="s">
        <v>189</v>
      </c>
    </row>
    <row r="7" spans="1:15" x14ac:dyDescent="0.3">
      <c r="A7" t="s">
        <v>241</v>
      </c>
      <c r="B7" t="s">
        <v>242</v>
      </c>
      <c r="C7" t="s">
        <v>243</v>
      </c>
      <c r="D7" t="s">
        <v>244</v>
      </c>
      <c r="E7" t="s">
        <v>245</v>
      </c>
      <c r="F7" t="s">
        <v>246</v>
      </c>
    </row>
    <row r="8" spans="1:15" x14ac:dyDescent="0.3">
      <c r="A8" s="169">
        <v>116671</v>
      </c>
      <c r="B8" s="169">
        <v>52155</v>
      </c>
      <c r="C8" s="169">
        <v>6773</v>
      </c>
      <c r="D8" s="169">
        <v>7257</v>
      </c>
      <c r="E8" s="169">
        <v>88019</v>
      </c>
      <c r="F8" s="169">
        <v>4302</v>
      </c>
      <c r="G8" s="186"/>
      <c r="H8" s="169"/>
      <c r="I8" s="169"/>
      <c r="J8" s="169"/>
      <c r="K8" s="169"/>
      <c r="L8" s="169"/>
      <c r="M8" s="169"/>
      <c r="N8" s="169"/>
      <c r="O8" s="169"/>
    </row>
    <row r="9" spans="1:15" x14ac:dyDescent="0.3">
      <c r="D9" s="169"/>
      <c r="E9" s="169"/>
      <c r="G9" s="186"/>
      <c r="H9" s="169"/>
      <c r="I9" s="169"/>
      <c r="J9" s="169"/>
      <c r="K9" s="169"/>
      <c r="L9" s="169"/>
      <c r="M9" s="169"/>
      <c r="N9" s="169"/>
      <c r="O9" s="169"/>
    </row>
    <row r="10" spans="1:15" x14ac:dyDescent="0.3">
      <c r="A10" t="s">
        <v>18</v>
      </c>
      <c r="D10" s="169"/>
      <c r="E10" s="169"/>
      <c r="G10" s="186"/>
      <c r="H10" s="169"/>
      <c r="I10" s="169"/>
      <c r="J10" s="169"/>
      <c r="K10" s="169"/>
      <c r="L10" s="169"/>
      <c r="M10" s="169"/>
      <c r="N10" s="169"/>
      <c r="O10" s="169"/>
    </row>
    <row r="11" spans="1:15" x14ac:dyDescent="0.3">
      <c r="A11" s="168" t="s">
        <v>189</v>
      </c>
      <c r="I11" s="169"/>
      <c r="J11" s="169"/>
      <c r="K11" s="169"/>
      <c r="L11" s="169"/>
      <c r="M11" s="169"/>
      <c r="N11" s="169"/>
      <c r="O11" s="169"/>
    </row>
    <row r="12" spans="1:15" x14ac:dyDescent="0.3">
      <c r="A12" t="s">
        <v>194</v>
      </c>
      <c r="B12" t="s">
        <v>195</v>
      </c>
      <c r="C12" t="s">
        <v>196</v>
      </c>
      <c r="D12" t="s">
        <v>199</v>
      </c>
      <c r="E12" t="s">
        <v>198</v>
      </c>
      <c r="F12" t="s">
        <v>197</v>
      </c>
      <c r="G12" t="s">
        <v>200</v>
      </c>
      <c r="H12" t="s">
        <v>201</v>
      </c>
      <c r="I12" s="169"/>
      <c r="J12" s="169"/>
      <c r="K12" s="169"/>
      <c r="L12" s="169"/>
      <c r="M12" s="169"/>
      <c r="N12" s="169"/>
      <c r="O12" s="169"/>
    </row>
    <row r="13" spans="1:15" x14ac:dyDescent="0.3">
      <c r="A13" s="169">
        <v>19141</v>
      </c>
      <c r="B13" s="169">
        <v>21898</v>
      </c>
      <c r="C13" s="169">
        <v>9854</v>
      </c>
      <c r="D13" s="169">
        <v>12379</v>
      </c>
      <c r="E13" s="169">
        <v>1459</v>
      </c>
      <c r="F13" s="169">
        <v>1950</v>
      </c>
      <c r="G13" s="169">
        <v>1846</v>
      </c>
      <c r="H13" s="169">
        <v>2653</v>
      </c>
      <c r="I13" s="169"/>
      <c r="J13" s="169"/>
      <c r="K13" s="169"/>
      <c r="L13" s="169"/>
      <c r="M13" s="169"/>
      <c r="N13" s="169"/>
      <c r="O13" s="169"/>
    </row>
    <row r="14" spans="1:15" x14ac:dyDescent="0.3">
      <c r="D14" s="169"/>
      <c r="E14" s="169"/>
      <c r="G14" s="186"/>
      <c r="H14" s="169"/>
      <c r="I14" s="169"/>
      <c r="J14" s="169"/>
      <c r="K14" s="169"/>
      <c r="L14" s="169"/>
      <c r="M14" s="169"/>
      <c r="N14" s="169"/>
      <c r="O14" s="169"/>
    </row>
    <row r="15" spans="1:15" x14ac:dyDescent="0.3">
      <c r="A15" s="47" t="s">
        <v>263</v>
      </c>
      <c r="D15" s="169"/>
      <c r="E15" s="169"/>
      <c r="G15" s="186"/>
      <c r="H15" s="169"/>
      <c r="I15" s="169"/>
      <c r="J15" s="169"/>
      <c r="K15" s="169"/>
      <c r="L15" s="169"/>
      <c r="M15" s="169"/>
      <c r="N15" s="169"/>
      <c r="O15" s="169"/>
    </row>
    <row r="16" spans="1:15" x14ac:dyDescent="0.3">
      <c r="A16" s="168" t="s">
        <v>189</v>
      </c>
      <c r="E16" s="169"/>
      <c r="G16" s="186"/>
      <c r="H16" s="169"/>
      <c r="I16" s="169"/>
      <c r="J16" s="169"/>
      <c r="K16" s="169"/>
      <c r="L16" s="169"/>
      <c r="M16" s="169"/>
      <c r="N16" s="169"/>
      <c r="O16" s="169"/>
    </row>
    <row r="17" spans="1:16" x14ac:dyDescent="0.3">
      <c r="A17" t="s">
        <v>257</v>
      </c>
      <c r="B17" t="s">
        <v>256</v>
      </c>
      <c r="C17" t="s">
        <v>258</v>
      </c>
      <c r="D17" t="s">
        <v>259</v>
      </c>
      <c r="E17" s="169"/>
      <c r="G17" s="186"/>
      <c r="H17" s="169"/>
      <c r="I17" s="169"/>
      <c r="J17" s="169"/>
      <c r="K17" s="169"/>
      <c r="L17" s="169"/>
      <c r="M17" s="169"/>
      <c r="N17" s="169"/>
      <c r="O17" s="169"/>
    </row>
    <row r="18" spans="1:16" x14ac:dyDescent="0.3">
      <c r="A18" s="169">
        <v>17508</v>
      </c>
      <c r="B18" s="169">
        <v>24179</v>
      </c>
      <c r="C18" s="169">
        <v>7186</v>
      </c>
      <c r="D18" s="169">
        <v>8234</v>
      </c>
      <c r="E18" s="169"/>
      <c r="G18" s="186"/>
      <c r="H18" s="169"/>
      <c r="I18" s="169"/>
      <c r="J18" s="169"/>
      <c r="K18" s="169"/>
      <c r="L18" s="169"/>
      <c r="M18" s="169"/>
      <c r="N18" s="169"/>
      <c r="O18" s="169"/>
    </row>
    <row r="19" spans="1:16" x14ac:dyDescent="0.3">
      <c r="D19" s="169"/>
      <c r="E19" s="169"/>
      <c r="G19" s="186"/>
      <c r="H19" s="169"/>
      <c r="I19" s="169"/>
      <c r="J19" s="169"/>
      <c r="K19" s="169"/>
      <c r="L19" s="169"/>
      <c r="M19" s="169"/>
      <c r="N19" s="169"/>
      <c r="O19" s="169"/>
    </row>
    <row r="20" spans="1:16" x14ac:dyDescent="0.3">
      <c r="A20" t="s">
        <v>227</v>
      </c>
      <c r="D20" s="169"/>
      <c r="E20" s="169"/>
      <c r="G20" s="47"/>
      <c r="H20" s="169"/>
      <c r="I20" s="169"/>
      <c r="J20" s="169"/>
      <c r="K20" s="169"/>
      <c r="L20" s="169"/>
      <c r="M20" s="169"/>
      <c r="N20" s="169"/>
      <c r="O20" s="169"/>
    </row>
    <row r="21" spans="1:16" x14ac:dyDescent="0.3">
      <c r="A21" s="168" t="s">
        <v>189</v>
      </c>
    </row>
    <row r="22" spans="1:16" x14ac:dyDescent="0.3">
      <c r="A22" t="s">
        <v>330</v>
      </c>
      <c r="B22" t="s">
        <v>519</v>
      </c>
      <c r="C22" t="s">
        <v>375</v>
      </c>
    </row>
    <row r="23" spans="1:16" x14ac:dyDescent="0.3">
      <c r="A23" s="169">
        <v>5958</v>
      </c>
      <c r="B23" s="169">
        <v>8050</v>
      </c>
      <c r="C23" s="169">
        <v>9</v>
      </c>
    </row>
    <row r="25" spans="1:16" x14ac:dyDescent="0.3">
      <c r="A25" t="s">
        <v>331</v>
      </c>
      <c r="D25" s="169"/>
      <c r="E25" s="169"/>
    </row>
    <row r="26" spans="1:16" x14ac:dyDescent="0.3">
      <c r="A26" s="168" t="s">
        <v>189</v>
      </c>
    </row>
    <row r="27" spans="1:16" x14ac:dyDescent="0.3">
      <c r="A27" t="s">
        <v>332</v>
      </c>
      <c r="B27" t="s">
        <v>333</v>
      </c>
      <c r="C27" t="s">
        <v>334</v>
      </c>
      <c r="D27" t="s">
        <v>335</v>
      </c>
      <c r="E27" t="s">
        <v>336</v>
      </c>
    </row>
    <row r="28" spans="1:16" x14ac:dyDescent="0.3">
      <c r="A28" s="169">
        <v>75706</v>
      </c>
      <c r="B28" s="169">
        <v>262095</v>
      </c>
      <c r="C28" s="169">
        <v>28809.88</v>
      </c>
      <c r="D28" s="169">
        <v>33514.11</v>
      </c>
      <c r="E28" s="169">
        <v>8.3743836581357129</v>
      </c>
    </row>
    <row r="29" spans="1:16" x14ac:dyDescent="0.3">
      <c r="A29" s="169" t="s">
        <v>352</v>
      </c>
      <c r="D29" s="169"/>
      <c r="E29" s="169"/>
    </row>
    <row r="30" spans="1:16" x14ac:dyDescent="0.3">
      <c r="A30" s="168" t="s">
        <v>189</v>
      </c>
    </row>
    <row r="31" spans="1:16" x14ac:dyDescent="0.3">
      <c r="A31" t="s">
        <v>353</v>
      </c>
      <c r="B31" t="s">
        <v>354</v>
      </c>
      <c r="C31" t="s">
        <v>355</v>
      </c>
      <c r="D31" t="s">
        <v>377</v>
      </c>
      <c r="E31" t="s">
        <v>356</v>
      </c>
      <c r="F31" t="s">
        <v>357</v>
      </c>
      <c r="G31" t="s">
        <v>358</v>
      </c>
      <c r="H31" t="s">
        <v>359</v>
      </c>
      <c r="I31" t="s">
        <v>360</v>
      </c>
      <c r="J31" t="s">
        <v>361</v>
      </c>
      <c r="K31" t="s">
        <v>362</v>
      </c>
      <c r="L31" t="s">
        <v>363</v>
      </c>
      <c r="M31" t="s">
        <v>364</v>
      </c>
      <c r="N31" t="s">
        <v>365</v>
      </c>
      <c r="O31" t="s">
        <v>366</v>
      </c>
      <c r="P31" t="s">
        <v>367</v>
      </c>
    </row>
    <row r="32" spans="1:16" x14ac:dyDescent="0.3">
      <c r="A32" s="169">
        <v>370367</v>
      </c>
      <c r="B32" s="169">
        <v>159177</v>
      </c>
      <c r="C32" s="169">
        <v>58517</v>
      </c>
      <c r="D32" s="169">
        <v>112854</v>
      </c>
      <c r="E32" s="169">
        <v>15711</v>
      </c>
      <c r="F32" s="169">
        <v>19036</v>
      </c>
      <c r="G32" s="169">
        <v>9660</v>
      </c>
      <c r="H32" s="169">
        <v>5099</v>
      </c>
      <c r="I32" s="169">
        <v>2813</v>
      </c>
      <c r="J32" s="169">
        <v>1414</v>
      </c>
      <c r="K32" s="169">
        <v>320899</v>
      </c>
      <c r="L32" s="169">
        <v>278341</v>
      </c>
      <c r="M32" s="169">
        <v>113661</v>
      </c>
      <c r="N32" s="169">
        <v>13237</v>
      </c>
      <c r="O32" s="169">
        <v>12503</v>
      </c>
      <c r="P32" s="169">
        <v>2207</v>
      </c>
    </row>
    <row r="33" spans="1:5" x14ac:dyDescent="0.3">
      <c r="D33" s="169"/>
      <c r="E33" s="169"/>
    </row>
    <row r="34" spans="1:5" x14ac:dyDescent="0.3">
      <c r="A34" t="s">
        <v>376</v>
      </c>
      <c r="D34" s="169"/>
      <c r="E34" s="169"/>
    </row>
    <row r="35" spans="1:5" x14ac:dyDescent="0.3">
      <c r="A35" s="168" t="s">
        <v>189</v>
      </c>
      <c r="D35" s="169"/>
      <c r="E35" s="169"/>
    </row>
    <row r="36" spans="1:5" x14ac:dyDescent="0.3">
      <c r="A36" t="s">
        <v>531</v>
      </c>
      <c r="B36" t="s">
        <v>519</v>
      </c>
      <c r="C36" t="s">
        <v>375</v>
      </c>
      <c r="D36" s="169"/>
      <c r="E36" s="169"/>
    </row>
    <row r="37" spans="1:5" x14ac:dyDescent="0.3">
      <c r="A37" s="169">
        <v>6826</v>
      </c>
      <c r="B37" s="169">
        <v>7512</v>
      </c>
      <c r="C37" s="169">
        <v>9</v>
      </c>
      <c r="D37" s="169"/>
      <c r="E37" s="169"/>
    </row>
    <row r="38" spans="1:5" x14ac:dyDescent="0.3">
      <c r="D38" s="169"/>
      <c r="E38" s="169"/>
    </row>
    <row r="54" spans="1:1" x14ac:dyDescent="0.3">
      <c r="A54" t="s">
        <v>42</v>
      </c>
    </row>
  </sheetData>
  <pageMargins left="0.7" right="0.7" top="0.75" bottom="0.75" header="0.3" footer="0.3"/>
  <pageSetup orientation="portrait" r:id="rId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_DCDateModified xmlns="http://schemas.microsoft.com/sharepoint/v3/fields"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26FA3260F9D2F489E80FD7C693DB6EB" ma:contentTypeVersion="3" ma:contentTypeDescription="Create a new document." ma:contentTypeScope="" ma:versionID="93498dc1b9986402aabbaf1d09eb6fd4">
  <xsd:schema xmlns:xsd="http://www.w3.org/2001/XMLSchema" xmlns:p="http://schemas.microsoft.com/office/2006/metadata/properties" xmlns:ns3="http://schemas.microsoft.com/sharepoint/v3/fields" targetNamespace="http://schemas.microsoft.com/office/2006/metadata/properties" ma:root="true" ma:fieldsID="1f345097a8acb258ede33065c692e9c9" ns3:_="">
    <xsd:import namespace="http://schemas.microsoft.com/sharepoint/v3/fields"/>
    <xsd:element name="properties">
      <xsd:complexType>
        <xsd:sequence>
          <xsd:element name="documentManagement">
            <xsd:complexType>
              <xsd:all>
                <xsd:element ref="ns3:_DCDateModified" minOccurs="0"/>
              </xsd:all>
            </xsd:complexType>
          </xsd:element>
        </xsd:sequence>
      </xsd:complexType>
    </xsd:element>
  </xsd:schema>
  <xsd:schema xmlns:xsd="http://www.w3.org/2001/XMLSchema" xmlns:dms="http://schemas.microsoft.com/office/2006/documentManagement/types" targetNamespace="http://schemas.microsoft.com/sharepoint/v3/fields" elementFormDefault="qualified">
    <xsd:import namespace="http://schemas.microsoft.com/office/2006/documentManagement/types"/>
    <xsd:element name="_DCDateModified" ma:index="9" nillable="true" ma:displayName="Date Modified" ma:description="The date on which this resource was last modified" ma:format="DateTime" ma:internalName="_DCDateModified">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0695CE5B-FCC4-465F-B1C3-E122DC6B823A}">
  <ds:schemaRefs>
    <ds:schemaRef ds:uri="http://schemas.microsoft.com/sharepoint/v3/contenttype/forms"/>
  </ds:schemaRefs>
</ds:datastoreItem>
</file>

<file path=customXml/itemProps2.xml><?xml version="1.0" encoding="utf-8"?>
<ds:datastoreItem xmlns:ds="http://schemas.openxmlformats.org/officeDocument/2006/customXml" ds:itemID="{E3B570F2-5A3C-4727-A514-5B2055D4CB00}">
  <ds:schemaRefs>
    <ds:schemaRef ds:uri="http://purl.org/dc/elements/1.1/"/>
    <ds:schemaRef ds:uri="http://schemas.microsoft.com/sharepoint/v3/fields"/>
    <ds:schemaRef ds:uri="http://schemas.microsoft.com/office/2006/documentManagement/types"/>
    <ds:schemaRef ds:uri="http://schemas.openxmlformats.org/package/2006/metadata/core-properties"/>
    <ds:schemaRef ds:uri="http://www.w3.org/XML/1998/namespace"/>
    <ds:schemaRef ds:uri="http://purl.org/dc/term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49F7A132-232C-47E9-A729-36E0ECD0E9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10</vt:i4>
      </vt:variant>
    </vt:vector>
  </HeadingPairs>
  <TitlesOfParts>
    <vt:vector size="26" baseType="lpstr">
      <vt:lpstr>Area Data</vt:lpstr>
      <vt:lpstr>Area Indicators</vt:lpstr>
      <vt:lpstr>Area Measures </vt:lpstr>
      <vt:lpstr>State Data</vt:lpstr>
      <vt:lpstr>State Indicators</vt:lpstr>
      <vt:lpstr>State Measures</vt:lpstr>
      <vt:lpstr>Definitions</vt:lpstr>
      <vt:lpstr>County Wages</vt:lpstr>
      <vt:lpstr>State PivotTables</vt:lpstr>
      <vt:lpstr>Area Pivot Tables</vt:lpstr>
      <vt:lpstr>DBPivot</vt:lpstr>
      <vt:lpstr>Common Measures</vt:lpstr>
      <vt:lpstr>PopAgeSexRacePivot</vt:lpstr>
      <vt:lpstr>Educational Attainment</vt:lpstr>
      <vt:lpstr>Lists</vt:lpstr>
      <vt:lpstr>WIA Title IB Charts</vt:lpstr>
      <vt:lpstr>Area</vt:lpstr>
      <vt:lpstr>Counties</vt:lpstr>
      <vt:lpstr>'Area Data'!Print_Area</vt:lpstr>
      <vt:lpstr>'Area Indicators'!Print_Area</vt:lpstr>
      <vt:lpstr>'Area Measures '!Print_Area</vt:lpstr>
      <vt:lpstr>Definitions!Print_Area</vt:lpstr>
      <vt:lpstr>'State Data'!Print_Area</vt:lpstr>
      <vt:lpstr>'State Indicators'!Print_Area</vt:lpstr>
      <vt:lpstr>'State Measures'!Print_Area</vt:lpstr>
      <vt:lpstr>qUARTERS</vt:lpstr>
    </vt:vector>
  </TitlesOfParts>
  <Company>ESD - State of Washington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swheeler</dc:creator>
  <cp:lastModifiedBy>Haglund, Robert (ESD)</cp:lastModifiedBy>
  <cp:lastPrinted>2012-01-13T18:39:00Z</cp:lastPrinted>
  <dcterms:created xsi:type="dcterms:W3CDTF">2011-05-03T22:22:40Z</dcterms:created>
  <dcterms:modified xsi:type="dcterms:W3CDTF">2014-08-20T15:36:32Z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0x010100D26FA3260F9D2F489E80FD7C693DB6EB</vt:lpwstr>
  </property>
</Properties>
</file>